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אלכס\Desktop\בשטח ifrs\אקדמיית IFRS\מבחנים ופתרונות של שנת השלמה\מבחנים ערוכים להעלאה\בוחן אמצע 2015\"/>
    </mc:Choice>
  </mc:AlternateContent>
  <xr:revisionPtr revIDLastSave="0" documentId="8_{FCBE0259-EC7B-4D73-8D5E-F8E0610F0AFB}" xr6:coauthVersionLast="33" xr6:coauthVersionMax="33" xr10:uidLastSave="{00000000-0000-0000-0000-000000000000}"/>
  <bookViews>
    <workbookView xWindow="0" yWindow="0" windowWidth="16410" windowHeight="7575" xr2:uid="{00000000-000D-0000-FFFF-FFFF00000000}"/>
  </bookViews>
  <sheets>
    <sheet name="באורים" sheetId="8" r:id="rId1"/>
    <sheet name="דוח על השינויים בהון" sheetId="7" r:id="rId2"/>
  </sheets>
  <definedNames>
    <definedName name="_xlnm.Print_Area" localSheetId="0">באורים!$A$1:$I$336</definedName>
  </definedNames>
  <calcPr calcId="179017"/>
</workbook>
</file>

<file path=xl/calcChain.xml><?xml version="1.0" encoding="utf-8"?>
<calcChain xmlns="http://schemas.openxmlformats.org/spreadsheetml/2006/main">
  <c r="D53" i="8" l="1"/>
  <c r="D183" i="8" l="1"/>
  <c r="F4" i="7" l="1"/>
  <c r="D4" i="7"/>
  <c r="D283" i="8"/>
  <c r="D278" i="8"/>
  <c r="D269" i="8"/>
  <c r="D270" i="8" s="1"/>
  <c r="E274" i="8" s="1"/>
  <c r="D279" i="8" s="1"/>
  <c r="D306" i="8" s="1"/>
  <c r="D258" i="8"/>
  <c r="D257" i="8"/>
  <c r="D249" i="8"/>
  <c r="D248" i="8"/>
  <c r="D206" i="8"/>
  <c r="E218" i="8" s="1"/>
  <c r="D191" i="8"/>
  <c r="D173" i="8"/>
  <c r="D147" i="8"/>
  <c r="D142" i="8"/>
  <c r="D143" i="8" s="1"/>
  <c r="A92" i="8"/>
  <c r="A91" i="8"/>
  <c r="A90" i="8"/>
  <c r="A89" i="8"/>
  <c r="D80" i="8"/>
  <c r="D72" i="8"/>
  <c r="D70" i="8"/>
  <c r="D60" i="8" s="1"/>
  <c r="D89" i="8" s="1"/>
  <c r="D61" i="8"/>
  <c r="D90" i="8" s="1"/>
  <c r="E48" i="8"/>
  <c r="D45" i="8"/>
  <c r="E174" i="8" s="1"/>
  <c r="H8" i="7" s="1"/>
  <c r="D44" i="8"/>
  <c r="D37" i="8"/>
  <c r="D36" i="8"/>
  <c r="D32" i="8"/>
  <c r="D23" i="8"/>
  <c r="E4" i="7" s="1"/>
  <c r="D148" i="8" l="1"/>
  <c r="D228" i="8" s="1"/>
  <c r="D230" i="8" s="1"/>
  <c r="D229" i="8" s="1"/>
  <c r="D253" i="8" s="1"/>
  <c r="D262" i="8" s="1"/>
  <c r="D295" i="8" s="1"/>
  <c r="D309" i="8" s="1"/>
  <c r="D280" i="8"/>
  <c r="D192" i="8"/>
  <c r="D193" i="8"/>
  <c r="H5" i="7"/>
  <c r="I5" i="7" s="1"/>
  <c r="D38" i="8"/>
  <c r="D39" i="8" s="1"/>
  <c r="D12" i="7"/>
  <c r="D71" i="8"/>
  <c r="D79" i="8" s="1"/>
  <c r="E175" i="8"/>
  <c r="E8" i="7" s="1"/>
  <c r="I8" i="7" s="1"/>
  <c r="I4" i="7"/>
  <c r="E47" i="8"/>
  <c r="D33" i="8"/>
  <c r="E176" i="8"/>
  <c r="J8" i="7" s="1"/>
  <c r="D62" i="8"/>
  <c r="D152" i="8" l="1"/>
  <c r="E162" i="8" s="1"/>
  <c r="D149" i="8"/>
  <c r="D156" i="8" s="1"/>
  <c r="D81" i="8"/>
  <c r="D64" i="8" s="1"/>
  <c r="D91" i="8" s="1"/>
  <c r="H12" i="7"/>
  <c r="D194" i="8"/>
  <c r="D197" i="8" s="1"/>
  <c r="E198" i="8" s="1"/>
  <c r="K8" i="7"/>
  <c r="K4" i="7"/>
  <c r="E12" i="7"/>
  <c r="D327" i="8"/>
  <c r="J5" i="7"/>
  <c r="D65" i="8"/>
  <c r="D92" i="8" s="1"/>
  <c r="D40" i="8"/>
  <c r="D310" i="8" s="1"/>
  <c r="D46" i="8"/>
  <c r="E168" i="8"/>
  <c r="D330" i="8"/>
  <c r="D67" i="8" l="1"/>
  <c r="J9" i="7"/>
  <c r="K9" i="7" s="1"/>
  <c r="D212" i="8"/>
  <c r="D331" i="8"/>
  <c r="K5" i="7"/>
  <c r="D93" i="8"/>
  <c r="F92" i="8" s="1"/>
  <c r="H92" i="8" s="1"/>
  <c r="E100" i="8" s="1"/>
  <c r="D287" i="8" s="1"/>
  <c r="D290" i="8" l="1"/>
  <c r="D297" i="8" s="1"/>
  <c r="D312" i="8" s="1"/>
  <c r="F91" i="8"/>
  <c r="H91" i="8" s="1"/>
  <c r="D155" i="8" s="1"/>
  <c r="D104" i="8"/>
  <c r="D96" i="8"/>
  <c r="F90" i="8"/>
  <c r="F89" i="8"/>
  <c r="F93" i="8" l="1"/>
  <c r="E101" i="8" s="1"/>
  <c r="H89" i="8"/>
  <c r="E99" i="8"/>
  <c r="D115" i="8"/>
  <c r="H90" i="8"/>
  <c r="E98" i="8" s="1"/>
  <c r="E106" i="8" s="1"/>
  <c r="D210" i="8" l="1"/>
  <c r="E107" i="8"/>
  <c r="D211" i="8"/>
  <c r="D166" i="8"/>
  <c r="D157" i="8"/>
  <c r="D167" i="8" s="1"/>
  <c r="G7" i="7" s="1"/>
  <c r="E97" i="8"/>
  <c r="E105" i="8" s="1"/>
  <c r="H93" i="8"/>
  <c r="D132" i="8"/>
  <c r="C130" i="8"/>
  <c r="D207" i="8" s="1"/>
  <c r="D240" i="8"/>
  <c r="E116" i="8"/>
  <c r="D273" i="8"/>
  <c r="E275" i="8" s="1"/>
  <c r="D304" i="8" s="1"/>
  <c r="D299" i="8"/>
  <c r="D134" i="8" l="1"/>
  <c r="D151" i="8" s="1"/>
  <c r="I7" i="7"/>
  <c r="I12" i="7" s="1"/>
  <c r="D329" i="8"/>
  <c r="J7" i="7"/>
  <c r="D328" i="8"/>
  <c r="J6" i="7"/>
  <c r="D213" i="8"/>
  <c r="D298" i="8" s="1"/>
  <c r="D313" i="8" s="1"/>
  <c r="D250" i="8"/>
  <c r="D259" i="8"/>
  <c r="D201" i="8"/>
  <c r="K7" i="7" l="1"/>
  <c r="K6" i="7"/>
  <c r="D133" i="8"/>
  <c r="D161" i="8" l="1"/>
  <c r="D153" i="8"/>
  <c r="E163" i="8" s="1"/>
  <c r="D242" i="8" s="1"/>
  <c r="D202" i="8"/>
  <c r="D203" i="8" s="1"/>
  <c r="D137" i="8"/>
  <c r="D261" i="8" l="1"/>
  <c r="D252" i="8"/>
  <c r="E138" i="8"/>
  <c r="D204" i="8"/>
  <c r="D205" i="8" s="1"/>
  <c r="D216" i="8" s="1"/>
  <c r="D217" i="8" s="1"/>
  <c r="D294" i="8" l="1"/>
  <c r="D308" i="8"/>
  <c r="D241" i="8"/>
  <c r="D260" i="8" l="1"/>
  <c r="D263" i="8" s="1"/>
  <c r="D251" i="8"/>
  <c r="D254" i="8" s="1"/>
  <c r="D243" i="8"/>
  <c r="D244" i="8"/>
  <c r="D288" i="8" l="1"/>
  <c r="D264" i="8"/>
  <c r="F11" i="7"/>
  <c r="F12" i="7" s="1"/>
  <c r="D332" i="8"/>
  <c r="D333" i="8" s="1"/>
  <c r="J11" i="7"/>
  <c r="K11" i="7" s="1"/>
  <c r="D289" i="8" l="1"/>
  <c r="D291" i="8" s="1"/>
  <c r="D303" i="8" l="1"/>
  <c r="D305" i="8" s="1"/>
  <c r="D307" i="8" s="1"/>
  <c r="D311" i="8" s="1"/>
  <c r="D315" i="8" s="1"/>
  <c r="D293" i="8"/>
  <c r="D296" i="8" s="1"/>
  <c r="D300" i="8" s="1"/>
  <c r="E323" i="8" l="1"/>
  <c r="J10" i="7" l="1"/>
  <c r="D322" i="8"/>
  <c r="G10" i="7" s="1"/>
  <c r="G12" i="7" s="1"/>
  <c r="D334" i="8"/>
  <c r="D335" i="8" s="1"/>
  <c r="J12" i="7" l="1"/>
  <c r="K10" i="7"/>
  <c r="K12" i="7" s="1"/>
</calcChain>
</file>

<file path=xl/sharedStrings.xml><?xml version="1.0" encoding="utf-8"?>
<sst xmlns="http://schemas.openxmlformats.org/spreadsheetml/2006/main" count="361" uniqueCount="275">
  <si>
    <t>ח' מזומן</t>
  </si>
  <si>
    <t>הון מניות</t>
  </si>
  <si>
    <t>פרמיה</t>
  </si>
  <si>
    <t>עודפים</t>
  </si>
  <si>
    <t>תאריך</t>
  </si>
  <si>
    <t>פרטים</t>
  </si>
  <si>
    <t>באור</t>
  </si>
  <si>
    <t>סה"כ</t>
  </si>
  <si>
    <t>סך מיוחס לבעלי המניות</t>
  </si>
  <si>
    <t>זכויות שאינן מקנות שליטה</t>
  </si>
  <si>
    <t>יתרת פתיחה</t>
  </si>
  <si>
    <t>ח' הוצאות מימון</t>
  </si>
  <si>
    <t>ח' מניות באוצר</t>
  </si>
  <si>
    <t>מניות באוצר</t>
  </si>
  <si>
    <t>רכיב התחייבותי</t>
  </si>
  <si>
    <t>רכיב הוני</t>
  </si>
  <si>
    <t>חושב לעיל</t>
  </si>
  <si>
    <t>חלק שמיוחס לרכיב ההתחייבותי</t>
  </si>
  <si>
    <t>חלק שמיוחס לרכיב ההוני</t>
  </si>
  <si>
    <t>רכיב התחייבותי שנגרע</t>
  </si>
  <si>
    <t>ח' אג"ח להמרה - רכיב התחייבותי</t>
  </si>
  <si>
    <t>רכיב הוני שנגרע</t>
  </si>
  <si>
    <t>קרן הון עסקה עם המיעוט</t>
  </si>
  <si>
    <t>ח' קרן הון עסקה עם המיעוט</t>
  </si>
  <si>
    <t>הוצאות מימון בגין אג"ח להמרה</t>
  </si>
  <si>
    <t>בוחן אמצע (2015) - פתרון שאלת מכשירים פיננסיים</t>
  </si>
  <si>
    <t>400,000 - 200,000 =</t>
  </si>
  <si>
    <t>רווח נקי מההקמה</t>
  </si>
  <si>
    <t>ביאור 1 - יתרות פתיחה הון חברת ויני</t>
  </si>
  <si>
    <t>ביאור 2 - רכישת 90% מחברת צ'ייס</t>
  </si>
  <si>
    <t>למועד הרכישה, מחזיקה חברת צ'ייס ב - 20% מהון המניות של חברת ויני, שהינה הרוכשת. משכך, במועד הרכישה יש לטפל</t>
  </si>
  <si>
    <t>נכסים והתחייבויות מזוהים</t>
  </si>
  <si>
    <t>זשמ"ש</t>
  </si>
  <si>
    <t>מוניטין</t>
  </si>
  <si>
    <t>תמורה</t>
  </si>
  <si>
    <t>700,000 * 10% =</t>
  </si>
  <si>
    <t>ח' נכסים והתחייבויות מזוהים</t>
  </si>
  <si>
    <t>ח' מוניטין</t>
  </si>
  <si>
    <t>ז' זשמ"ש</t>
  </si>
  <si>
    <t>ז' מזומן</t>
  </si>
  <si>
    <t>20,000 * 4 =</t>
  </si>
  <si>
    <t>בחינת שליטה בהנחת דילול מלא</t>
  </si>
  <si>
    <t>נשמרת שליטה</t>
  </si>
  <si>
    <t>¯</t>
  </si>
  <si>
    <t>הקצאת תמורת ההנפקה ברוטו</t>
  </si>
  <si>
    <t>אג"ח להמרה - רכיב התחייבותי</t>
  </si>
  <si>
    <t>סה"כ תמורה להקצאה</t>
  </si>
  <si>
    <t>מניות בכורה - רכיב התחייבותי</t>
  </si>
  <si>
    <t>תמורה להקצאה למכשירים הוניים</t>
  </si>
  <si>
    <t>ביאור א'</t>
  </si>
  <si>
    <t>ביאור ב'</t>
  </si>
  <si>
    <t>תוקצה לפי יחסי שווי הוגן</t>
  </si>
  <si>
    <t>¬</t>
  </si>
  <si>
    <t>ביאור א' - אג"ח להמרה</t>
  </si>
  <si>
    <t>סה"כ שווי הוגן</t>
  </si>
  <si>
    <t>®</t>
  </si>
  <si>
    <t>ביאור 3 - הנפקת 100,000 חבילות בחברת צ'ייס</t>
  </si>
  <si>
    <t>P.N.</t>
  </si>
  <si>
    <t>היות ומניות הבכורה ניתנות לפדיון בכל רגע נתון על ידי המשקיע תמורת ערכן הנקוב, יש להכיר בהתחייבות פיננסית בגובה</t>
  </si>
  <si>
    <t>מלוא ערכן הנקוב של מניות הבכורה (ראה סעיף 49 ל - IAS 39).</t>
  </si>
  <si>
    <t>ביאור ב' - מניות בכורה - רכיב התחייבותי</t>
  </si>
  <si>
    <t>שווי הוגן מכשירים הוניים</t>
  </si>
  <si>
    <t>ביאור ג'</t>
  </si>
  <si>
    <t>ביאור ג' - שווי הוגן מכשירים הוניים</t>
  </si>
  <si>
    <t>אג"ח להמרה - רכיב הוני</t>
  </si>
  <si>
    <t>מניות בכורה - רכיב הוני</t>
  </si>
  <si>
    <t>הקצאת תמורה למכשירים הוניים:</t>
  </si>
  <si>
    <t>הקצאת תמורה למכשירים התחייבותיים:</t>
  </si>
  <si>
    <t>149,243 * 49,243 / 169,243 =</t>
  </si>
  <si>
    <t>149,243 * 120,000 / 169,243 =</t>
  </si>
  <si>
    <t>פקודת יומן (מאוחד):</t>
  </si>
  <si>
    <t>הקצאת תמורת ההנפקה נטו</t>
  </si>
  <si>
    <t>במכשירים הוניים, אשר תטופל כמענק הוני בהתאם ל - IFRS 2 (על אף שהסילוק הינו נטו במניות). משכך, עלויות ההנפקה</t>
  </si>
  <si>
    <t>תמורה ברוטו</t>
  </si>
  <si>
    <t>עלויות הנפקה</t>
  </si>
  <si>
    <t>תמורה נטו</t>
  </si>
  <si>
    <r>
      <t xml:space="preserve">הקצאת ע"ע ברכישת ויני </t>
    </r>
    <r>
      <rPr>
        <b/>
        <u/>
        <sz val="11"/>
        <color theme="1"/>
        <rFont val="Symbol"/>
        <family val="1"/>
        <charset val="2"/>
      </rPr>
      <t>¬</t>
    </r>
    <r>
      <rPr>
        <b/>
        <u/>
        <sz val="11"/>
        <color theme="1"/>
        <rFont val="Arial"/>
        <family val="2"/>
      </rPr>
      <t xml:space="preserve"> צ'ייס ביום 1 בינואר 2015</t>
    </r>
  </si>
  <si>
    <t>ז' אג"ח להמרה - רכיב התחייבותי</t>
  </si>
  <si>
    <t>ז' מניות בכורה - רכיב התחייבותי</t>
  </si>
  <si>
    <t>ז' אג"ח להמרה - רכיב הוני</t>
  </si>
  <si>
    <t>ז' מניות בכורה - רכיב הוני</t>
  </si>
  <si>
    <t>פקודת יומן בחברת צ'ייס (סולו) - לא נדרש:</t>
  </si>
  <si>
    <t>41,450 + 101,009 + 50,000 =</t>
  </si>
  <si>
    <t>בראי המאוחד, רכישה כאמור מהווה פדיון מוקדם של 25% מאגרות החוב להמרה של חברת צ'ייס. כפועל יוצא, יש לחשב</t>
  </si>
  <si>
    <t>פדיון הרכיב ההוני.</t>
  </si>
  <si>
    <t>בשל מאפיין הדרישה, ההתחייבות הפיננסית בגין הרכיב ההתחייבותי אינה יכולה לעמוד על סכום הנמוך יותר מגובה ערכן</t>
  </si>
  <si>
    <t>הנקוב של מניות הבכורה. כפועל יוצא, עלויות העסקה אשר יוחסו לרכיב זה ייזקפו לרווח והפסד רגע לאחר הקצאת התמורה.</t>
  </si>
  <si>
    <t>ביאור 5 - רכישת אגרות חוב להמרה על ידי ויני</t>
  </si>
  <si>
    <t>מעגל אג"ח להמרה - רכיב התחייבותי</t>
  </si>
  <si>
    <t>חישוב ריבית אפקטיבית - רכיב התחייבותי</t>
  </si>
  <si>
    <t>PV { FV = 500,000, PMT = 35,000, N = 6, I = 5% }</t>
  </si>
  <si>
    <t>הוצאות מימון ל - 6 חודשים</t>
  </si>
  <si>
    <t>525,723 * 1.0596 ^ (6/12) =</t>
  </si>
  <si>
    <t>חישוב שווי הוגן רכיב התחייבותי ליום 30 ביוני 2015</t>
  </si>
  <si>
    <t>יתרת ביניים - 30.6.2015</t>
  </si>
  <si>
    <t>שווי הוגן נכון ל - 2.1.2015</t>
  </si>
  <si>
    <t>PV { FV = 500,000, PMT = 35,000, N = 6, I = 8% }</t>
  </si>
  <si>
    <t>שווי הוגן נכון ל - 30.6.2015</t>
  </si>
  <si>
    <t>476,886 * 1.08 ^ (6/12) =</t>
  </si>
  <si>
    <t>הקצאת התמורה ששולמה לרכיב ההתחייבותי ולרכיב ההוני וחישוב רווח (הפסד) מפדיון מוקדם</t>
  </si>
  <si>
    <t>תמורה ששולמה</t>
  </si>
  <si>
    <t>100,000 * 5 * 25% * 1.3 =</t>
  </si>
  <si>
    <t>495,594 * 25% =</t>
  </si>
  <si>
    <t>541,150 * 25% =</t>
  </si>
  <si>
    <t>רווח מפדיון מוקדם</t>
  </si>
  <si>
    <t>135,288 - 123,899 =</t>
  </si>
  <si>
    <t>41,450 * 25% =</t>
  </si>
  <si>
    <t>בגין רכיב התחייבותי</t>
  </si>
  <si>
    <t>בגין רכיב הוני</t>
  </si>
  <si>
    <t>ז' רווח מפדיון מוקדם</t>
  </si>
  <si>
    <t>ח' זשמ"ש</t>
  </si>
  <si>
    <t>תשלום</t>
  </si>
  <si>
    <t>יתרת סגירה</t>
  </si>
  <si>
    <t>ז' הון מניות</t>
  </si>
  <si>
    <t>20,000 * 6 =</t>
  </si>
  <si>
    <t>ז' מניות באוצר</t>
  </si>
  <si>
    <t>ז' פרמיה</t>
  </si>
  <si>
    <t>(120,000 - 80,000) * 90% =</t>
  </si>
  <si>
    <t>(120,000 - 80,000) * 10% =</t>
  </si>
  <si>
    <t>במועד שינוי התנאים, יש לזקוף לרווח או הפסד את ההפרש שבין שווין ההוגן של המניות שהמחזיק מקבל בהתאם לתנאים</t>
  </si>
  <si>
    <t>המתוקנים, לבין שווין ההוגן של המניות שהמחזיק היה מקבל בהתאם לתנאים המקוריים (ראה סעיף א35 ל - IAS 32).</t>
  </si>
  <si>
    <t>הפרש</t>
  </si>
  <si>
    <t>שינוי יחס המרה</t>
  </si>
  <si>
    <t>שיעור החזקה לפני</t>
  </si>
  <si>
    <t>שיעור החזקה אחרי</t>
  </si>
  <si>
    <t>(*)</t>
  </si>
  <si>
    <t>מוניטין 90%</t>
  </si>
  <si>
    <t>שווי הוגן חברת צ'ייס</t>
  </si>
  <si>
    <t>מוניטין 100%</t>
  </si>
  <si>
    <t>100,000 * 7.5 =</t>
  </si>
  <si>
    <t>פרמיית שליטה</t>
  </si>
  <si>
    <t>50,000 - 45,000 =</t>
  </si>
  <si>
    <t>700,000 - 20,000 * 4 =</t>
  </si>
  <si>
    <t>לא נכס מזוהה</t>
  </si>
  <si>
    <t>בהחזקה זו כרכישת מניות באוצר בהתאם לשוויה ההוגן של ההחזקה במועד הרכישה.</t>
  </si>
  <si>
    <t>ירידה בשיעור החזקה</t>
  </si>
  <si>
    <t>ז' אופציות סדרה א' - הון</t>
  </si>
  <si>
    <t>שהוכרו הינם בגובה שווים ההוגן של שירותי החיתום שהתקבלו - קרי, 50,000 ש"ח.</t>
  </si>
  <si>
    <t>IRR { PV = 525,723, PMT = 35,000, N = 6, FV = 500,000 }</t>
  </si>
  <si>
    <t>ביאור 4 - מניות בכורה</t>
  </si>
  <si>
    <t>יתרת ביניים - 30.6.15</t>
  </si>
  <si>
    <t>יתרת סגירה - לפני המרה</t>
  </si>
  <si>
    <t>525,723 * [(1.0596 ^ (6/12) - 1] או P.N. =</t>
  </si>
  <si>
    <t>פקודת יומן בחברת צ'ייס (סולו):</t>
  </si>
  <si>
    <t>זשמ"ש - רגע לפני</t>
  </si>
  <si>
    <t>35,000 * 75% =</t>
  </si>
  <si>
    <t xml:space="preserve">הרכיב ההוני מייצג את זכות הצבירה הקיימת לבעלי מניות הבכורה, אשר תטופל במסגרת חלוקת הרווח בין הרוב למיעוט. </t>
  </si>
  <si>
    <t>חברת ויני</t>
  </si>
  <si>
    <t>רווח נקי (סולו)</t>
  </si>
  <si>
    <t>חישוב רווח מאוחד</t>
  </si>
  <si>
    <t>חברת צ'ייס</t>
  </si>
  <si>
    <t>היות והרווח הנקי הנתון של כל חברה הינו הרווח לפני השפעת העסקאות המתוארות לעיל, הרי שניתן להתעלם מההשפעות</t>
  </si>
  <si>
    <r>
      <rPr>
        <b/>
        <sz val="11"/>
        <color theme="1"/>
        <rFont val="Arial"/>
        <family val="2"/>
        <scheme val="minor"/>
      </rPr>
      <t>דגש -</t>
    </r>
    <r>
      <rPr>
        <sz val="11"/>
        <color theme="1"/>
        <rFont val="Arial"/>
        <family val="2"/>
        <scheme val="minor"/>
      </rPr>
      <t xml:space="preserve"> יש להקצות את הרווח מפדיון מוקדם בגין רכישת אגרות החוב להמרה של חברת צ'ייס על ידי חברת ויני בין הרוב</t>
    </r>
  </si>
  <si>
    <t>למיעוט, הן במועד היצירה והן בתקופות עוקבות. מאחר וכאמור חישוב הרווח המאוחד מתבצע בהתעלם מהשפעות ההחזקות</t>
  </si>
  <si>
    <t>הוצאות מימון בגין מניות בכורה</t>
  </si>
  <si>
    <t>חלוקת הרווח בין הרוב למיעוט</t>
  </si>
  <si>
    <t>רווח נקי ויני (סולו)</t>
  </si>
  <si>
    <t>הכנסות מימון בחברת ויני בגין רכיב האג"ח (סטרייט) לפי עלות מופחתת</t>
  </si>
  <si>
    <t>הכנסות מימון ל - 6 חודשים</t>
  </si>
  <si>
    <t>יתרת פתיחה - 30.6.15</t>
  </si>
  <si>
    <t>יתרת סגירה - 31.12.15</t>
  </si>
  <si>
    <t>123,899 * 1.08 ^ (6/12) =</t>
  </si>
  <si>
    <t>123,899 * [1.08 ^ (6/12) - 1] או P.N. =</t>
  </si>
  <si>
    <t xml:space="preserve"> להגדיל את חלקו של הרוב באותו הסכום.</t>
  </si>
  <si>
    <t>ההדדיות, נדרש, באופן נקודתי, להעביר 10% מביטול הכנסות המימון שנרשמו בויני מהמיעוט לרוב במסגרת חלוקת הרווח.</t>
  </si>
  <si>
    <t>לאור האמור לעיל, בחלוקת הרווח בין הרוב למיעוט יש להקטין את חלק המיעוט ברווח ב - 486 (= 4,861 * 10%), ובמקביל</t>
  </si>
  <si>
    <t>4,861 * 10% =</t>
  </si>
  <si>
    <t>חלק הרוב ברווח</t>
  </si>
  <si>
    <t>חלק המיעוט ברווח</t>
  </si>
  <si>
    <t>חלק בהוצאות מימון בגין מב"כ</t>
  </si>
  <si>
    <t>חלק בהוצאות מימון בגין אג"ח להמרה</t>
  </si>
  <si>
    <t>חלק ברווח מפדיון מוקדם</t>
  </si>
  <si>
    <t>18,182 * 90% =</t>
  </si>
  <si>
    <t>11,389 * 90% =</t>
  </si>
  <si>
    <t>18,182 * 10% =</t>
  </si>
  <si>
    <t>11,389 * 10% =</t>
  </si>
  <si>
    <t>חלק בביטול הכנסות מימון</t>
  </si>
  <si>
    <t>ייחוס למיעוט חלק מביטול הכנסות מימון</t>
  </si>
  <si>
    <t>רווח נקי מיוחס לרוב</t>
  </si>
  <si>
    <t>רווח נקי מיוחס למיעווט</t>
  </si>
  <si>
    <t>סה"כ רווח נקי מאוחד</t>
  </si>
  <si>
    <t>כמות מניות לפי תנאים מתוקנים</t>
  </si>
  <si>
    <t>כמות מניות לפי תנאים מקוריים</t>
  </si>
  <si>
    <t>ח' אופציות סדרה א' - הון</t>
  </si>
  <si>
    <t>(550,000 - 400,000 * 10%) * 90% =</t>
  </si>
  <si>
    <t>(550,000 - 400,000 * 10%) * 10% =</t>
  </si>
  <si>
    <t>400,000 * 10% =</t>
  </si>
  <si>
    <t>כניסה לאיחוד</t>
  </si>
  <si>
    <t>-</t>
  </si>
  <si>
    <t>חישוב השפעת השינוי</t>
  </si>
  <si>
    <t xml:space="preserve">100,000 * 5 * 75%  = </t>
  </si>
  <si>
    <t>סה"כ ערך נקוב בראיית המאוחד</t>
  </si>
  <si>
    <t>מעגל אג"ח להמרה - רכיב התחייבותי (בראיית המאוחד)</t>
  </si>
  <si>
    <t>541,150 * [(1.0596 ^ (6/12) - 1] * 75% או P.N. =</t>
  </si>
  <si>
    <t xml:space="preserve">PV { FV = 500,000, PMT = 35,000, N = 5, I = 5.96% } * 75% </t>
  </si>
  <si>
    <t>רכישת 25% על ידי ויני</t>
  </si>
  <si>
    <t>מעגל אג"ח להמרה - רכיב הוני (בראיית המאוחד)</t>
  </si>
  <si>
    <t>חלק ברווח נקי צ'ייס בניכוי צבירה</t>
  </si>
  <si>
    <t>דיבידנד צביר למב"כ</t>
  </si>
  <si>
    <t>חישוב זשמ"ש - לפי תנועה (לא נדרש)</t>
  </si>
  <si>
    <t>רכישת 25% אג"ח להמרה</t>
  </si>
  <si>
    <t>מימוש מניות ויני על ידי צ'ייס</t>
  </si>
  <si>
    <t>9,375 * 10 =</t>
  </si>
  <si>
    <t>ערך פנימי</t>
  </si>
  <si>
    <t>15,000 * (10 - 7) =</t>
  </si>
  <si>
    <t>45,000 / 10 =</t>
  </si>
  <si>
    <t>הון יתרת פתיחה</t>
  </si>
  <si>
    <t>אופציות סדרה א' - הון</t>
  </si>
  <si>
    <t>המרת אופציות בחברת צ'ייס</t>
  </si>
  <si>
    <t>יטופל בנפרד</t>
  </si>
  <si>
    <t>רווח נקי בראי מאוחד</t>
  </si>
  <si>
    <t>נטרול מניות בכורה - רכיב הוני</t>
  </si>
  <si>
    <t>101,009 + 100,000 * 4 * 10% =</t>
  </si>
  <si>
    <t>שיעור המיעוט</t>
  </si>
  <si>
    <t>זשמ"ש - בגין אג"ח להמרה</t>
  </si>
  <si>
    <t>זשמ"ש - בגין אופציות</t>
  </si>
  <si>
    <t>זשמ"ש - בגין מניות בכורה</t>
  </si>
  <si>
    <t>חושב</t>
  </si>
  <si>
    <t>15,428 + 11,910 + 93,750 =</t>
  </si>
  <si>
    <t>הנפקה בחברת צ'ייס</t>
  </si>
  <si>
    <t>90,000 / 100,000 =</t>
  </si>
  <si>
    <t>חישוב שיעור החזקה חדש</t>
  </si>
  <si>
    <t>זשמ"ש - רגע אחרי</t>
  </si>
  <si>
    <t>הון צ'ייס בראי מאוחד</t>
  </si>
  <si>
    <t>השפעת מימוש אופציות סדרה א'</t>
  </si>
  <si>
    <t>ייחוס חלק יחסי במוניטין למיעוט</t>
  </si>
  <si>
    <t>פקודת יומן בחברת צ'ייס (מאוחד):</t>
  </si>
  <si>
    <t>דוח מאוחד על השינויים בהון של חברת ויני לשנה שנסתיימה ביום 31 בדצמבר 2015</t>
  </si>
  <si>
    <t>31.12.2014</t>
  </si>
  <si>
    <t>1.1.2015</t>
  </si>
  <si>
    <t>רכישת 90% מחברת צ'ייס</t>
  </si>
  <si>
    <t>2.1.2015</t>
  </si>
  <si>
    <t>הנפקת חבילה בחברת צ'ייס</t>
  </si>
  <si>
    <t>30.6.2015</t>
  </si>
  <si>
    <t>30.9.2015</t>
  </si>
  <si>
    <t>מכירת מניות ויני על ידי צ'ייס</t>
  </si>
  <si>
    <t>31.12.2015</t>
  </si>
  <si>
    <t>שינוי יחס המרה בצ'ייס</t>
  </si>
  <si>
    <t>רווח לשנת 2015</t>
  </si>
  <si>
    <t>מימוש אופציות סדרה א' בצ'ייס</t>
  </si>
  <si>
    <t xml:space="preserve">נשים לב כי קבלת שירותי החיתום כנגד הנפקת 15,000 אופציות סדרה א' מהווה עסקת תשלום מבוסס מניות המסולקת </t>
  </si>
  <si>
    <t>375,000 / 10 =</t>
  </si>
  <si>
    <t>375,000 / 8 =</t>
  </si>
  <si>
    <t>121,088 * 90% =</t>
  </si>
  <si>
    <t>121,088 * 10% =</t>
  </si>
  <si>
    <t>כמות מניות שהונפקה</t>
  </si>
  <si>
    <t>חישוב כמות מניות שהונפקה</t>
  </si>
  <si>
    <t>זשמ"ש - בגין מניות רגילות</t>
  </si>
  <si>
    <t>45,500 + 4,500 =</t>
  </si>
  <si>
    <t xml:space="preserve">(90,000 + 500,000 * 25% / 8) / [100,000 + 15,000*(10-7)/10 + 500,000 / 8] = </t>
  </si>
  <si>
    <t>90,000 / (100,000 + 4,500) =</t>
  </si>
  <si>
    <t>100% - 86.12% =</t>
  </si>
  <si>
    <t>(50,000 - 5,000) / 90% * 3.88% =</t>
  </si>
  <si>
    <t>% החזקה בדילול מלא</t>
  </si>
  <si>
    <t>רווח (הפסד) מפדיון מוקדם בגין הרכיב ההתחייבותי, אשר יוקצה בין הרוב למיעוט, וכן לבצע הקצאה בין הרוב למיעוט בגין</t>
  </si>
  <si>
    <t>מומש למניות</t>
  </si>
  <si>
    <t>50,000 * 90% =</t>
  </si>
  <si>
    <t>100,000 * 6 =</t>
  </si>
  <si>
    <t>ביאור 6 - מכירת מניות חברת ויני על ידי חברת צ'ייס</t>
  </si>
  <si>
    <t>ביאור 7 - שינוי יחס המרה</t>
  </si>
  <si>
    <t>ביאור 8 - רווח מאוחד וחלוקת הרווח בין הרוב למיעוט</t>
  </si>
  <si>
    <t>ביאור 9 - מימוש אופציות סדרה א'</t>
  </si>
  <si>
    <t>בדוחות סולו של חברת צייס נרשם שיערוך בגין ההשקעה במניות חברת ויני. מאחר והרווח הנתון הינו לפני השפעת העסקה הנ"ל אין צורך לתקן את הרווח שלה.</t>
  </si>
  <si>
    <t xml:space="preserve">90,000 / [100,000 + 15,000*(7.5-7)/7.5 + 100,000 * 5 / 10] = </t>
  </si>
  <si>
    <t>חלק המיעוט ברווח (לא נדרש - נדרש היה לחשב רווח מיוחס רק לרוב או למיעוט ואת הרווח השני לחלץ כ- P.N.)</t>
  </si>
  <si>
    <t>מכירת מניות חברת ויני</t>
  </si>
  <si>
    <t>120,000 - 80,000 =</t>
  </si>
  <si>
    <r>
      <t xml:space="preserve">רווח נקי צ'ייס בראי מאוחד </t>
    </r>
    <r>
      <rPr>
        <b/>
        <sz val="11"/>
        <color theme="1"/>
        <rFont val="Arial"/>
        <family val="2"/>
        <scheme val="minor"/>
      </rPr>
      <t>(*)</t>
    </r>
  </si>
  <si>
    <t>בנטרול רווח מפדיון מוקדם</t>
  </si>
  <si>
    <t>הערה:</t>
  </si>
  <si>
    <t>לפי שיעור ההחזקה במועד הרכישה החוזרת</t>
  </si>
  <si>
    <t>429,496 - 427,573 =</t>
  </si>
  <si>
    <t>יש לייחס למיעוט חלק מהרווח מפדיון מוקדם לפי שיעור החזקתו במועד הרכישה החוזרת - אין לעדכן חלק זה</t>
  </si>
  <si>
    <t>בגין הירידה בשיעור ההחזקה (בדומה לרט"מ UP). משכך, מרכיב זה יטופל בחלקו התחתון של ההרכב.</t>
  </si>
  <si>
    <t>התוצאותיות בגין ההחזקות ההדדיות, שכן אלו ממילא תבוטלנה במעבר למאוחד.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</si>
</sst>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,##0.0_);\(#,##0.0\)"/>
    <numFmt numFmtId="165" formatCode="0.0%"/>
  </numFmts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u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1"/>
      <name val="Symbol"/>
      <family val="1"/>
      <charset val="2"/>
    </font>
    <font>
      <b/>
      <u/>
      <sz val="11"/>
      <color theme="1"/>
      <name val="Symbol"/>
      <family val="1"/>
      <charset val="2"/>
    </font>
    <font>
      <b/>
      <u/>
      <sz val="11"/>
      <color theme="1"/>
      <name val="Arial"/>
      <family val="2"/>
    </font>
    <font>
      <sz val="10"/>
      <color theme="1"/>
      <name val="Arial"/>
      <family val="2"/>
      <scheme val="minor"/>
    </font>
    <font>
      <sz val="10"/>
      <color theme="1"/>
      <name val="Symbol"/>
      <family val="1"/>
      <charset val="2"/>
    </font>
    <font>
      <b/>
      <sz val="12"/>
      <color theme="1"/>
      <name val="Arial"/>
      <family val="2"/>
      <scheme val="minor"/>
    </font>
    <font>
      <sz val="9.5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FCFC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7">
    <xf numFmtId="0" fontId="0" fillId="0" borderId="0" xfId="0"/>
    <xf numFmtId="37" fontId="0" fillId="0" borderId="0" xfId="0" applyNumberFormat="1" applyFont="1"/>
    <xf numFmtId="37" fontId="3" fillId="0" borderId="0" xfId="0" applyNumberFormat="1" applyFont="1"/>
    <xf numFmtId="37" fontId="4" fillId="0" borderId="0" xfId="0" applyNumberFormat="1" applyFont="1"/>
    <xf numFmtId="37" fontId="0" fillId="0" borderId="0" xfId="0" applyNumberFormat="1" applyFont="1" applyBorder="1" applyAlignment="1">
      <alignment horizontal="center"/>
    </xf>
    <xf numFmtId="37" fontId="0" fillId="0" borderId="0" xfId="0" applyNumberFormat="1" applyFont="1" applyAlignment="1">
      <alignment horizontal="center"/>
    </xf>
    <xf numFmtId="37" fontId="0" fillId="0" borderId="0" xfId="0" applyNumberFormat="1" applyFont="1" applyAlignment="1">
      <alignment horizontal="right"/>
    </xf>
    <xf numFmtId="37" fontId="0" fillId="0" borderId="0" xfId="0" applyNumberFormat="1" applyFont="1" applyAlignment="1">
      <alignment horizontal="right" readingOrder="2"/>
    </xf>
    <xf numFmtId="9" fontId="0" fillId="0" borderId="0" xfId="1" applyFont="1"/>
    <xf numFmtId="37" fontId="0" fillId="0" borderId="7" xfId="0" applyNumberFormat="1" applyFont="1" applyBorder="1"/>
    <xf numFmtId="39" fontId="0" fillId="0" borderId="0" xfId="0" applyNumberFormat="1" applyFont="1"/>
    <xf numFmtId="37" fontId="0" fillId="0" borderId="0" xfId="0" applyNumberFormat="1" applyFont="1" applyAlignment="1">
      <alignment horizontal="left"/>
    </xf>
    <xf numFmtId="37" fontId="0" fillId="0" borderId="9" xfId="0" applyNumberFormat="1" applyFont="1" applyBorder="1"/>
    <xf numFmtId="37" fontId="0" fillId="0" borderId="12" xfId="0" applyNumberFormat="1" applyFont="1" applyBorder="1"/>
    <xf numFmtId="37" fontId="0" fillId="0" borderId="13" xfId="0" applyNumberFormat="1" applyFont="1" applyBorder="1"/>
    <xf numFmtId="37" fontId="0" fillId="0" borderId="18" xfId="0" applyNumberFormat="1" applyFont="1" applyBorder="1"/>
    <xf numFmtId="37" fontId="0" fillId="0" borderId="18" xfId="0" applyNumberFormat="1" applyFont="1" applyBorder="1" applyAlignment="1">
      <alignment horizontal="center"/>
    </xf>
    <xf numFmtId="37" fontId="0" fillId="0" borderId="19" xfId="0" applyNumberFormat="1" applyFont="1" applyBorder="1"/>
    <xf numFmtId="37" fontId="0" fillId="0" borderId="20" xfId="0" applyNumberFormat="1" applyFont="1" applyBorder="1"/>
    <xf numFmtId="37" fontId="0" fillId="0" borderId="0" xfId="0" applyNumberFormat="1" applyFont="1" applyBorder="1"/>
    <xf numFmtId="37" fontId="0" fillId="0" borderId="21" xfId="0" applyNumberFormat="1" applyFont="1" applyBorder="1"/>
    <xf numFmtId="37" fontId="0" fillId="0" borderId="23" xfId="0" applyNumberFormat="1" applyFont="1" applyBorder="1"/>
    <xf numFmtId="37" fontId="0" fillId="0" borderId="23" xfId="0" applyNumberFormat="1" applyFont="1" applyBorder="1" applyAlignment="1">
      <alignment horizontal="center"/>
    </xf>
    <xf numFmtId="37" fontId="0" fillId="0" borderId="24" xfId="0" applyNumberFormat="1" applyFont="1" applyBorder="1"/>
    <xf numFmtId="0" fontId="0" fillId="0" borderId="0" xfId="0" applyBorder="1"/>
    <xf numFmtId="37" fontId="0" fillId="0" borderId="0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center"/>
    </xf>
    <xf numFmtId="9" fontId="0" fillId="0" borderId="7" xfId="1" applyFont="1" applyBorder="1"/>
    <xf numFmtId="37" fontId="0" fillId="0" borderId="27" xfId="0" applyNumberFormat="1" applyFont="1" applyBorder="1"/>
    <xf numFmtId="37" fontId="0" fillId="0" borderId="27" xfId="0" applyNumberFormat="1" applyFont="1" applyBorder="1" applyAlignment="1">
      <alignment horizontal="center"/>
    </xf>
    <xf numFmtId="37" fontId="0" fillId="0" borderId="7" xfId="0" applyNumberFormat="1" applyFont="1" applyBorder="1" applyAlignment="1">
      <alignment horizontal="right"/>
    </xf>
    <xf numFmtId="37" fontId="0" fillId="0" borderId="27" xfId="0" applyNumberFormat="1" applyFont="1" applyBorder="1" applyAlignment="1">
      <alignment horizontal="right"/>
    </xf>
    <xf numFmtId="37" fontId="2" fillId="0" borderId="17" xfId="0" applyNumberFormat="1" applyFont="1" applyBorder="1"/>
    <xf numFmtId="37" fontId="0" fillId="0" borderId="19" xfId="0" applyNumberFormat="1" applyFont="1" applyBorder="1" applyAlignment="1">
      <alignment horizontal="center"/>
    </xf>
    <xf numFmtId="37" fontId="0" fillId="0" borderId="21" xfId="0" applyNumberFormat="1" applyFont="1" applyBorder="1" applyAlignment="1">
      <alignment horizontal="center"/>
    </xf>
    <xf numFmtId="37" fontId="0" fillId="0" borderId="20" xfId="0" applyNumberFormat="1" applyFont="1" applyBorder="1" applyAlignment="1">
      <alignment horizontal="right" indent="3"/>
    </xf>
    <xf numFmtId="37" fontId="0" fillId="0" borderId="21" xfId="0" applyNumberFormat="1" applyFont="1" applyBorder="1" applyAlignment="1">
      <alignment horizontal="right"/>
    </xf>
    <xf numFmtId="37" fontId="0" fillId="0" borderId="22" xfId="0" applyNumberFormat="1" applyFont="1" applyBorder="1" applyAlignment="1">
      <alignment horizontal="right" indent="3"/>
    </xf>
    <xf numFmtId="37" fontId="0" fillId="0" borderId="23" xfId="0" applyNumberFormat="1" applyFont="1" applyBorder="1" applyAlignment="1">
      <alignment horizontal="right"/>
    </xf>
    <xf numFmtId="37" fontId="0" fillId="0" borderId="24" xfId="0" applyNumberFormat="1" applyFont="1" applyBorder="1" applyAlignment="1">
      <alignment horizontal="right"/>
    </xf>
    <xf numFmtId="37" fontId="0" fillId="0" borderId="0" xfId="0" applyNumberFormat="1" applyFont="1" applyAlignment="1">
      <alignment horizontal="right" indent="6"/>
    </xf>
    <xf numFmtId="37" fontId="6" fillId="0" borderId="0" xfId="0" applyNumberFormat="1" applyFont="1" applyAlignment="1">
      <alignment horizontal="right" indent="9"/>
    </xf>
    <xf numFmtId="37" fontId="6" fillId="0" borderId="0" xfId="0" applyNumberFormat="1" applyFont="1" applyAlignment="1">
      <alignment horizontal="center"/>
    </xf>
    <xf numFmtId="37" fontId="0" fillId="3" borderId="0" xfId="0" applyNumberFormat="1" applyFont="1" applyFill="1"/>
    <xf numFmtId="37" fontId="0" fillId="3" borderId="0" xfId="0" applyNumberFormat="1" applyFont="1" applyFill="1" applyAlignment="1">
      <alignment horizontal="right" indent="6"/>
    </xf>
    <xf numFmtId="164" fontId="0" fillId="0" borderId="0" xfId="0" applyNumberFormat="1" applyFont="1"/>
    <xf numFmtId="37" fontId="2" fillId="0" borderId="10" xfId="0" applyNumberFormat="1" applyFont="1" applyBorder="1"/>
    <xf numFmtId="37" fontId="0" fillId="0" borderId="12" xfId="0" applyNumberFormat="1" applyFont="1" applyBorder="1" applyAlignment="1">
      <alignment horizontal="right" indent="3"/>
    </xf>
    <xf numFmtId="37" fontId="0" fillId="0" borderId="14" xfId="0" applyNumberFormat="1" applyFont="1" applyBorder="1" applyAlignment="1">
      <alignment horizontal="right" indent="3"/>
    </xf>
    <xf numFmtId="37" fontId="0" fillId="0" borderId="11" xfId="0" applyNumberFormat="1" applyFont="1" applyBorder="1" applyAlignment="1">
      <alignment horizontal="right"/>
    </xf>
    <xf numFmtId="37" fontId="0" fillId="0" borderId="13" xfId="0" applyNumberFormat="1" applyFont="1" applyBorder="1" applyAlignment="1">
      <alignment horizontal="right"/>
    </xf>
    <xf numFmtId="37" fontId="0" fillId="0" borderId="15" xfId="0" applyNumberFormat="1" applyFont="1" applyBorder="1" applyAlignment="1">
      <alignment horizontal="right"/>
    </xf>
    <xf numFmtId="37" fontId="0" fillId="0" borderId="18" xfId="0" applyNumberFormat="1" applyFont="1" applyBorder="1" applyAlignment="1">
      <alignment horizontal="right"/>
    </xf>
    <xf numFmtId="37" fontId="0" fillId="0" borderId="19" xfId="0" applyNumberFormat="1" applyFont="1" applyBorder="1" applyAlignment="1">
      <alignment horizontal="right"/>
    </xf>
    <xf numFmtId="37" fontId="0" fillId="0" borderId="0" xfId="0" applyNumberFormat="1" applyFont="1" applyBorder="1" applyAlignment="1">
      <alignment horizontal="right" indent="3"/>
    </xf>
    <xf numFmtId="10" fontId="0" fillId="0" borderId="0" xfId="1" applyNumberFormat="1" applyFont="1" applyAlignment="1">
      <alignment horizontal="right"/>
    </xf>
    <xf numFmtId="37" fontId="4" fillId="0" borderId="20" xfId="0" applyNumberFormat="1" applyFont="1" applyBorder="1"/>
    <xf numFmtId="37" fontId="4" fillId="0" borderId="20" xfId="0" applyNumberFormat="1" applyFont="1" applyBorder="1" applyAlignment="1">
      <alignment horizontal="right" indent="3"/>
    </xf>
    <xf numFmtId="37" fontId="0" fillId="0" borderId="20" xfId="0" applyNumberFormat="1" applyFont="1" applyBorder="1" applyAlignment="1">
      <alignment horizontal="right"/>
    </xf>
    <xf numFmtId="10" fontId="0" fillId="0" borderId="0" xfId="1" applyNumberFormat="1" applyFont="1" applyBorder="1"/>
    <xf numFmtId="37" fontId="5" fillId="0" borderId="0" xfId="0" applyNumberFormat="1" applyFont="1"/>
    <xf numFmtId="37" fontId="10" fillId="0" borderId="0" xfId="0" applyNumberFormat="1" applyFont="1"/>
    <xf numFmtId="37" fontId="9" fillId="0" borderId="0" xfId="0" applyNumberFormat="1" applyFont="1" applyAlignment="1">
      <alignment horizontal="right" indent="3"/>
    </xf>
    <xf numFmtId="10" fontId="0" fillId="0" borderId="7" xfId="1" applyNumberFormat="1" applyFont="1" applyBorder="1"/>
    <xf numFmtId="37" fontId="4" fillId="0" borderId="0" xfId="0" applyNumberFormat="1" applyFont="1" applyBorder="1" applyAlignment="1">
      <alignment horizontal="right"/>
    </xf>
    <xf numFmtId="37" fontId="0" fillId="0" borderId="0" xfId="0" applyNumberFormat="1" applyFont="1" applyBorder="1" applyAlignment="1">
      <alignment readingOrder="2"/>
    </xf>
    <xf numFmtId="37" fontId="3" fillId="0" borderId="0" xfId="0" applyNumberFormat="1" applyFont="1" applyBorder="1" applyAlignment="1">
      <alignment horizontal="right"/>
    </xf>
    <xf numFmtId="37" fontId="2" fillId="0" borderId="17" xfId="0" applyNumberFormat="1" applyFont="1" applyBorder="1" applyAlignment="1">
      <alignment horizontal="right"/>
    </xf>
    <xf numFmtId="37" fontId="0" fillId="0" borderId="17" xfId="0" applyNumberFormat="1" applyFont="1" applyBorder="1" applyAlignment="1">
      <alignment horizontal="right"/>
    </xf>
    <xf numFmtId="37" fontId="0" fillId="0" borderId="22" xfId="0" applyNumberFormat="1" applyFont="1" applyBorder="1" applyAlignment="1">
      <alignment horizontal="right"/>
    </xf>
    <xf numFmtId="37" fontId="0" fillId="0" borderId="8" xfId="0" applyNumberFormat="1" applyFont="1" applyBorder="1"/>
    <xf numFmtId="37" fontId="0" fillId="0" borderId="0" xfId="0" applyNumberFormat="1" applyFont="1" applyFill="1" applyBorder="1" applyAlignment="1">
      <alignment horizontal="right"/>
    </xf>
    <xf numFmtId="9" fontId="0" fillId="0" borderId="0" xfId="1" applyNumberFormat="1" applyFont="1"/>
    <xf numFmtId="37" fontId="3" fillId="0" borderId="0" xfId="0" applyNumberFormat="1" applyFont="1" applyAlignment="1">
      <alignment horizontal="right" readingOrder="2"/>
    </xf>
    <xf numFmtId="37" fontId="6" fillId="0" borderId="0" xfId="0" applyNumberFormat="1" applyFont="1" applyAlignment="1">
      <alignment horizontal="right" indent="10"/>
    </xf>
    <xf numFmtId="9" fontId="0" fillId="0" borderId="0" xfId="1" applyNumberFormat="1" applyFont="1" applyBorder="1"/>
    <xf numFmtId="0" fontId="2" fillId="3" borderId="1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14" fontId="0" fillId="0" borderId="26" xfId="0" applyNumberFormat="1" applyFill="1" applyBorder="1" applyAlignment="1">
      <alignment horizontal="right" readingOrder="2"/>
    </xf>
    <xf numFmtId="0" fontId="0" fillId="0" borderId="0" xfId="0" applyFill="1" applyBorder="1" applyAlignment="1">
      <alignment horizontal="right" readingOrder="2"/>
    </xf>
    <xf numFmtId="0" fontId="0" fillId="0" borderId="26" xfId="0" applyFill="1" applyBorder="1" applyAlignment="1">
      <alignment horizontal="right" readingOrder="2"/>
    </xf>
    <xf numFmtId="37" fontId="0" fillId="0" borderId="0" xfId="0" applyNumberFormat="1" applyFill="1" applyBorder="1" applyAlignment="1">
      <alignment horizontal="right" readingOrder="2"/>
    </xf>
    <xf numFmtId="37" fontId="0" fillId="0" borderId="26" xfId="0" applyNumberFormat="1" applyFill="1" applyBorder="1" applyAlignment="1">
      <alignment horizontal="right" readingOrder="2"/>
    </xf>
    <xf numFmtId="0" fontId="0" fillId="0" borderId="22" xfId="0" applyFill="1" applyBorder="1" applyAlignment="1">
      <alignment horizontal="right" readingOrder="2"/>
    </xf>
    <xf numFmtId="0" fontId="0" fillId="0" borderId="25" xfId="0" applyFill="1" applyBorder="1" applyAlignment="1">
      <alignment horizontal="right" readingOrder="2"/>
    </xf>
    <xf numFmtId="37" fontId="0" fillId="0" borderId="26" xfId="2" applyNumberFormat="1" applyFont="1" applyFill="1" applyBorder="1" applyAlignment="1">
      <alignment horizontal="right" readingOrder="2"/>
    </xf>
    <xf numFmtId="37" fontId="2" fillId="0" borderId="21" xfId="2" applyNumberFormat="1" applyFont="1" applyFill="1" applyBorder="1" applyAlignment="1">
      <alignment horizontal="right" readingOrder="2"/>
    </xf>
    <xf numFmtId="37" fontId="2" fillId="0" borderId="25" xfId="0" applyNumberFormat="1" applyFont="1" applyFill="1" applyBorder="1" applyAlignment="1">
      <alignment horizontal="right" readingOrder="2"/>
    </xf>
    <xf numFmtId="37" fontId="0" fillId="0" borderId="29" xfId="0" applyNumberFormat="1" applyFill="1" applyBorder="1" applyAlignment="1">
      <alignment horizontal="right" readingOrder="2"/>
    </xf>
    <xf numFmtId="37" fontId="0" fillId="0" borderId="28" xfId="0" applyNumberFormat="1" applyFill="1" applyBorder="1" applyAlignment="1">
      <alignment horizontal="right" readingOrder="2"/>
    </xf>
    <xf numFmtId="37" fontId="0" fillId="0" borderId="28" xfId="2" applyNumberFormat="1" applyFont="1" applyFill="1" applyBorder="1" applyAlignment="1">
      <alignment horizontal="right" readingOrder="2"/>
    </xf>
    <xf numFmtId="37" fontId="2" fillId="0" borderId="30" xfId="2" applyNumberFormat="1" applyFont="1" applyFill="1" applyBorder="1" applyAlignment="1">
      <alignment horizontal="right" readingOrder="2"/>
    </xf>
    <xf numFmtId="37" fontId="0" fillId="0" borderId="21" xfId="0" applyNumberFormat="1" applyFont="1" applyFill="1" applyBorder="1" applyAlignment="1">
      <alignment horizontal="right"/>
    </xf>
    <xf numFmtId="37" fontId="0" fillId="0" borderId="0" xfId="0" applyNumberFormat="1" applyFont="1" applyFill="1" applyBorder="1"/>
    <xf numFmtId="37" fontId="0" fillId="0" borderId="0" xfId="0" applyNumberFormat="1" applyFont="1" applyFill="1"/>
    <xf numFmtId="37" fontId="0" fillId="0" borderId="7" xfId="0" applyNumberFormat="1" applyFont="1" applyFill="1" applyBorder="1"/>
    <xf numFmtId="37" fontId="0" fillId="0" borderId="0" xfId="0" applyNumberFormat="1" applyFont="1" applyFill="1" applyAlignment="1">
      <alignment horizontal="center"/>
    </xf>
    <xf numFmtId="37" fontId="3" fillId="0" borderId="0" xfId="0" applyNumberFormat="1" applyFont="1" applyFill="1"/>
    <xf numFmtId="37" fontId="0" fillId="0" borderId="0" xfId="0" applyNumberFormat="1" applyFont="1" applyFill="1" applyAlignment="1">
      <alignment horizontal="right" readingOrder="2"/>
    </xf>
    <xf numFmtId="165" fontId="0" fillId="0" borderId="0" xfId="1" applyNumberFormat="1" applyFont="1" applyFill="1"/>
    <xf numFmtId="9" fontId="0" fillId="0" borderId="0" xfId="1" applyFont="1" applyFill="1"/>
    <xf numFmtId="10" fontId="0" fillId="0" borderId="0" xfId="1" applyNumberFormat="1" applyFont="1" applyFill="1"/>
    <xf numFmtId="37" fontId="12" fillId="0" borderId="0" xfId="0" applyNumberFormat="1" applyFont="1" applyFill="1"/>
    <xf numFmtId="10" fontId="0" fillId="0" borderId="7" xfId="1" applyNumberFormat="1" applyFont="1" applyFill="1" applyBorder="1"/>
    <xf numFmtId="37" fontId="0" fillId="0" borderId="0" xfId="0" applyNumberFormat="1" applyFont="1" applyFill="1" applyBorder="1" applyAlignment="1">
      <alignment horizontal="center"/>
    </xf>
    <xf numFmtId="37" fontId="5" fillId="0" borderId="0" xfId="0" applyNumberFormat="1" applyFont="1" applyFill="1"/>
    <xf numFmtId="37" fontId="0" fillId="5" borderId="0" xfId="0" applyNumberFormat="1" applyFont="1" applyFill="1"/>
    <xf numFmtId="37" fontId="9" fillId="0" borderId="0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center"/>
    </xf>
    <xf numFmtId="37" fontId="0" fillId="0" borderId="0" xfId="0" applyNumberFormat="1" applyFont="1" applyFill="1" applyAlignment="1">
      <alignment horizontal="right" wrapText="1" readingOrder="2"/>
    </xf>
    <xf numFmtId="0" fontId="0" fillId="0" borderId="0" xfId="0" applyAlignment="1">
      <alignment wrapText="1"/>
    </xf>
    <xf numFmtId="37" fontId="0" fillId="3" borderId="1" xfId="0" applyNumberFormat="1" applyFont="1" applyFill="1" applyBorder="1" applyAlignment="1">
      <alignment horizontal="center"/>
    </xf>
    <xf numFmtId="37" fontId="0" fillId="3" borderId="2" xfId="0" applyNumberFormat="1" applyFont="1" applyFill="1" applyBorder="1" applyAlignment="1">
      <alignment horizontal="center"/>
    </xf>
    <xf numFmtId="37" fontId="0" fillId="3" borderId="3" xfId="0" applyNumberFormat="1" applyFont="1" applyFill="1" applyBorder="1" applyAlignment="1">
      <alignment horizontal="center"/>
    </xf>
    <xf numFmtId="37" fontId="0" fillId="4" borderId="4" xfId="0" applyNumberFormat="1" applyFont="1" applyFill="1" applyBorder="1" applyAlignment="1">
      <alignment horizontal="center"/>
    </xf>
    <xf numFmtId="37" fontId="0" fillId="4" borderId="5" xfId="0" applyNumberFormat="1" applyFont="1" applyFill="1" applyBorder="1" applyAlignment="1">
      <alignment horizontal="center"/>
    </xf>
    <xf numFmtId="37" fontId="0" fillId="4" borderId="6" xfId="0" applyNumberFormat="1" applyFont="1" applyFill="1" applyBorder="1" applyAlignment="1">
      <alignment horizontal="center"/>
    </xf>
    <xf numFmtId="37" fontId="11" fillId="2" borderId="1" xfId="0" applyNumberFormat="1" applyFont="1" applyFill="1" applyBorder="1" applyAlignment="1">
      <alignment horizontal="center"/>
    </xf>
    <xf numFmtId="37" fontId="11" fillId="2" borderId="2" xfId="0" applyNumberFormat="1" applyFont="1" applyFill="1" applyBorder="1" applyAlignment="1">
      <alignment horizontal="center"/>
    </xf>
    <xf numFmtId="37" fontId="11" fillId="2" borderId="3" xfId="0" applyNumberFormat="1" applyFont="1" applyFill="1" applyBorder="1" applyAlignment="1">
      <alignment horizontal="center"/>
    </xf>
    <xf numFmtId="37" fontId="2" fillId="2" borderId="1" xfId="0" applyNumberFormat="1" applyFont="1" applyFill="1" applyBorder="1" applyAlignment="1">
      <alignment horizontal="center"/>
    </xf>
    <xf numFmtId="37" fontId="2" fillId="2" borderId="2" xfId="0" applyNumberFormat="1" applyFont="1" applyFill="1" applyBorder="1" applyAlignment="1">
      <alignment horizontal="center"/>
    </xf>
    <xf numFmtId="37" fontId="2" fillId="2" borderId="3" xfId="0" applyNumberFormat="1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FFFF"/>
      <color rgb="FFCC99FF"/>
      <color rgb="FFCCCCFF"/>
      <color rgb="FF66CCFF"/>
      <color rgb="FF00FF99"/>
      <color rgb="FF14E6FC"/>
      <color rgb="FFFEFCFC"/>
      <color rgb="FFF8EDEC"/>
      <color rgb="FF33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5</xdr:row>
      <xdr:rowOff>0</xdr:rowOff>
    </xdr:from>
    <xdr:to>
      <xdr:col>8</xdr:col>
      <xdr:colOff>504825</xdr:colOff>
      <xdr:row>5</xdr:row>
      <xdr:rowOff>0</xdr:rowOff>
    </xdr:to>
    <xdr:cxnSp macro="">
      <xdr:nvCxnSpPr>
        <xdr:cNvPr id="3" name="מחבר חץ ישר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982723875" y="962025"/>
          <a:ext cx="5486400" cy="0"/>
        </a:xfrm>
        <a:prstGeom prst="straightConnector1">
          <a:avLst/>
        </a:prstGeom>
        <a:ln w="19050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804578</xdr:colOff>
      <xdr:row>2</xdr:row>
      <xdr:rowOff>171450</xdr:rowOff>
    </xdr:from>
    <xdr:to>
      <xdr:col>8</xdr:col>
      <xdr:colOff>161921</xdr:colOff>
      <xdr:row>4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983066779" y="561975"/>
          <a:ext cx="852768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1100" b="1"/>
            <a:t>1/1/2015</a:t>
          </a:r>
        </a:p>
      </xdr:txBody>
    </xdr:sp>
    <xdr:clientData/>
  </xdr:twoCellAnchor>
  <xdr:twoCellAnchor>
    <xdr:from>
      <xdr:col>4</xdr:col>
      <xdr:colOff>206375</xdr:colOff>
      <xdr:row>2</xdr:row>
      <xdr:rowOff>171450</xdr:rowOff>
    </xdr:from>
    <xdr:to>
      <xdr:col>5</xdr:col>
      <xdr:colOff>347379</xdr:colOff>
      <xdr:row>4</xdr:row>
      <xdr:rowOff>76200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010959434" y="568325"/>
          <a:ext cx="776004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1100" b="1"/>
            <a:t>2/1/2015</a:t>
          </a:r>
        </a:p>
      </xdr:txBody>
    </xdr:sp>
    <xdr:clientData/>
  </xdr:twoCellAnchor>
  <xdr:twoCellAnchor>
    <xdr:from>
      <xdr:col>2</xdr:col>
      <xdr:colOff>251113</xdr:colOff>
      <xdr:row>2</xdr:row>
      <xdr:rowOff>161925</xdr:rowOff>
    </xdr:from>
    <xdr:to>
      <xdr:col>3</xdr:col>
      <xdr:colOff>352727</xdr:colOff>
      <xdr:row>4</xdr:row>
      <xdr:rowOff>66675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986276398" y="552450"/>
          <a:ext cx="873139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1100" b="1"/>
            <a:t>30/6/2015</a:t>
          </a:r>
        </a:p>
      </xdr:txBody>
    </xdr:sp>
    <xdr:clientData/>
  </xdr:twoCellAnchor>
  <xdr:twoCellAnchor>
    <xdr:from>
      <xdr:col>7</xdr:col>
      <xdr:colOff>281609</xdr:colOff>
      <xdr:row>4</xdr:row>
      <xdr:rowOff>124238</xdr:rowOff>
    </xdr:from>
    <xdr:to>
      <xdr:col>7</xdr:col>
      <xdr:colOff>281609</xdr:colOff>
      <xdr:row>5</xdr:row>
      <xdr:rowOff>49695</xdr:rowOff>
    </xdr:to>
    <xdr:cxnSp macro="">
      <xdr:nvCxnSpPr>
        <xdr:cNvPr id="8" name="מחבר ישר 1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9983642416" y="895763"/>
          <a:ext cx="0" cy="115957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639830</xdr:colOff>
      <xdr:row>4</xdr:row>
      <xdr:rowOff>124237</xdr:rowOff>
    </xdr:from>
    <xdr:to>
      <xdr:col>4</xdr:col>
      <xdr:colOff>639830</xdr:colOff>
      <xdr:row>5</xdr:row>
      <xdr:rowOff>49694</xdr:rowOff>
    </xdr:to>
    <xdr:cxnSp macro="">
      <xdr:nvCxnSpPr>
        <xdr:cNvPr id="9" name="מחבר ישר 2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9985303495" y="895762"/>
          <a:ext cx="0" cy="115957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661366</xdr:colOff>
      <xdr:row>4</xdr:row>
      <xdr:rowOff>124238</xdr:rowOff>
    </xdr:from>
    <xdr:to>
      <xdr:col>2</xdr:col>
      <xdr:colOff>661366</xdr:colOff>
      <xdr:row>5</xdr:row>
      <xdr:rowOff>49695</xdr:rowOff>
    </xdr:to>
    <xdr:cxnSp macro="">
      <xdr:nvCxnSpPr>
        <xdr:cNvPr id="10" name="מחבר ישר 2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9986739284" y="895763"/>
          <a:ext cx="0" cy="115957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778074</xdr:colOff>
      <xdr:row>5</xdr:row>
      <xdr:rowOff>96907</xdr:rowOff>
    </xdr:from>
    <xdr:to>
      <xdr:col>8</xdr:col>
      <xdr:colOff>135417</xdr:colOff>
      <xdr:row>7</xdr:row>
      <xdr:rowOff>1657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9983093283" y="1058932"/>
          <a:ext cx="833718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 b="0"/>
            <a:t>חברת ויני</a:t>
          </a:r>
        </a:p>
      </xdr:txBody>
    </xdr:sp>
    <xdr:clientData/>
  </xdr:twoCellAnchor>
  <xdr:twoCellAnchor>
    <xdr:from>
      <xdr:col>6</xdr:col>
      <xdr:colOff>779818</xdr:colOff>
      <xdr:row>9</xdr:row>
      <xdr:rowOff>27747</xdr:rowOff>
    </xdr:from>
    <xdr:to>
      <xdr:col>8</xdr:col>
      <xdr:colOff>137161</xdr:colOff>
      <xdr:row>10</xdr:row>
      <xdr:rowOff>113472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983091539" y="1751772"/>
          <a:ext cx="833718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 b="0"/>
            <a:t>חברת צ'ייס</a:t>
          </a:r>
        </a:p>
      </xdr:txBody>
    </xdr:sp>
    <xdr:clientData/>
  </xdr:twoCellAnchor>
  <xdr:twoCellAnchor>
    <xdr:from>
      <xdr:col>7</xdr:col>
      <xdr:colOff>299583</xdr:colOff>
      <xdr:row>7</xdr:row>
      <xdr:rowOff>1657</xdr:rowOff>
    </xdr:from>
    <xdr:to>
      <xdr:col>7</xdr:col>
      <xdr:colOff>301327</xdr:colOff>
      <xdr:row>9</xdr:row>
      <xdr:rowOff>27747</xdr:rowOff>
    </xdr:to>
    <xdr:cxnSp macro="">
      <xdr:nvCxnSpPr>
        <xdr:cNvPr id="14" name="מחבר חץ ישר 2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stCxn id="12" idx="2"/>
          <a:endCxn id="13" idx="0"/>
        </xdr:cNvCxnSpPr>
      </xdr:nvCxnSpPr>
      <xdr:spPr>
        <a:xfrm flipH="1">
          <a:off x="9983622698" y="1344682"/>
          <a:ext cx="1744" cy="407090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361950</xdr:colOff>
      <xdr:row>7</xdr:row>
      <xdr:rowOff>47625</xdr:rowOff>
    </xdr:from>
    <xdr:to>
      <xdr:col>8</xdr:col>
      <xdr:colOff>304800</xdr:colOff>
      <xdr:row>8</xdr:row>
      <xdr:rowOff>133350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982923900" y="1390650"/>
          <a:ext cx="6381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1100" b="0"/>
            <a:t>90%</a:t>
          </a:r>
        </a:p>
      </xdr:txBody>
    </xdr:sp>
    <xdr:clientData/>
  </xdr:twoCellAnchor>
  <xdr:twoCellAnchor>
    <xdr:from>
      <xdr:col>4</xdr:col>
      <xdr:colOff>47625</xdr:colOff>
      <xdr:row>5</xdr:row>
      <xdr:rowOff>163581</xdr:rowOff>
    </xdr:from>
    <xdr:to>
      <xdr:col>5</xdr:col>
      <xdr:colOff>424482</xdr:colOff>
      <xdr:row>9</xdr:row>
      <xdr:rowOff>171450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9984880668" y="1135131"/>
          <a:ext cx="1015032" cy="7698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 b="0"/>
            <a:t>הנפקת</a:t>
          </a:r>
          <a:r>
            <a:rPr lang="he-IL" sz="1100" b="0" baseline="0"/>
            <a:t> 100,000 חבילות בחברת צ'ייס</a:t>
          </a:r>
          <a:endParaRPr lang="he-IL" sz="1100" b="0"/>
        </a:p>
      </xdr:txBody>
    </xdr:sp>
    <xdr:clientData/>
  </xdr:twoCellAnchor>
  <xdr:twoCellAnchor>
    <xdr:from>
      <xdr:col>2</xdr:col>
      <xdr:colOff>197049</xdr:colOff>
      <xdr:row>5</xdr:row>
      <xdr:rowOff>135007</xdr:rowOff>
    </xdr:from>
    <xdr:to>
      <xdr:col>3</xdr:col>
      <xdr:colOff>202092</xdr:colOff>
      <xdr:row>7</xdr:row>
      <xdr:rowOff>39757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9986427033" y="1097032"/>
          <a:ext cx="776568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 b="0"/>
            <a:t>חברת ויני</a:t>
          </a:r>
        </a:p>
      </xdr:txBody>
    </xdr:sp>
    <xdr:clientData/>
  </xdr:twoCellAnchor>
  <xdr:twoCellAnchor>
    <xdr:from>
      <xdr:col>2</xdr:col>
      <xdr:colOff>198793</xdr:colOff>
      <xdr:row>9</xdr:row>
      <xdr:rowOff>65847</xdr:rowOff>
    </xdr:from>
    <xdr:to>
      <xdr:col>3</xdr:col>
      <xdr:colOff>203836</xdr:colOff>
      <xdr:row>10</xdr:row>
      <xdr:rowOff>151572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9986425289" y="1789872"/>
          <a:ext cx="776568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 b="0"/>
            <a:t>חברת צ'ייס</a:t>
          </a:r>
        </a:p>
      </xdr:txBody>
    </xdr:sp>
    <xdr:clientData/>
  </xdr:twoCellAnchor>
  <xdr:twoCellAnchor>
    <xdr:from>
      <xdr:col>2</xdr:col>
      <xdr:colOff>642483</xdr:colOff>
      <xdr:row>7</xdr:row>
      <xdr:rowOff>39757</xdr:rowOff>
    </xdr:from>
    <xdr:to>
      <xdr:col>2</xdr:col>
      <xdr:colOff>644227</xdr:colOff>
      <xdr:row>9</xdr:row>
      <xdr:rowOff>65847</xdr:rowOff>
    </xdr:to>
    <xdr:cxnSp macro="">
      <xdr:nvCxnSpPr>
        <xdr:cNvPr id="19" name="מחבר חץ ישר 3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>
          <a:stCxn id="17" idx="2"/>
          <a:endCxn id="18" idx="0"/>
        </xdr:cNvCxnSpPr>
      </xdr:nvCxnSpPr>
      <xdr:spPr>
        <a:xfrm flipH="1">
          <a:off x="9986756423" y="1382782"/>
          <a:ext cx="1744" cy="407090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704849</xdr:colOff>
      <xdr:row>7</xdr:row>
      <xdr:rowOff>85725</xdr:rowOff>
    </xdr:from>
    <xdr:to>
      <xdr:col>3</xdr:col>
      <xdr:colOff>438977</xdr:colOff>
      <xdr:row>8</xdr:row>
      <xdr:rowOff>171450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986190148" y="1428750"/>
          <a:ext cx="505653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1100" b="0"/>
            <a:t>90%</a:t>
          </a:r>
        </a:p>
      </xdr:txBody>
    </xdr:sp>
    <xdr:clientData/>
  </xdr:twoCellAnchor>
  <xdr:twoCellAnchor>
    <xdr:from>
      <xdr:col>0</xdr:col>
      <xdr:colOff>333376</xdr:colOff>
      <xdr:row>6</xdr:row>
      <xdr:rowOff>77856</xdr:rowOff>
    </xdr:from>
    <xdr:to>
      <xdr:col>2</xdr:col>
      <xdr:colOff>9526</xdr:colOff>
      <xdr:row>10</xdr:row>
      <xdr:rowOff>38100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9987391124" y="1230381"/>
          <a:ext cx="838200" cy="7222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1100" b="0"/>
            <a:t>רכישת 25% אג"ח להמרה</a:t>
          </a:r>
        </a:p>
      </xdr:txBody>
    </xdr:sp>
    <xdr:clientData/>
  </xdr:twoCellAnchor>
  <xdr:twoCellAnchor>
    <xdr:from>
      <xdr:col>2</xdr:col>
      <xdr:colOff>197049</xdr:colOff>
      <xdr:row>6</xdr:row>
      <xdr:rowOff>87382</xdr:rowOff>
    </xdr:from>
    <xdr:to>
      <xdr:col>2</xdr:col>
      <xdr:colOff>198793</xdr:colOff>
      <xdr:row>10</xdr:row>
      <xdr:rowOff>18222</xdr:rowOff>
    </xdr:to>
    <xdr:cxnSp macro="">
      <xdr:nvCxnSpPr>
        <xdr:cNvPr id="22" name="מחבר מרפקי 3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>
          <a:stCxn id="17" idx="3"/>
          <a:endCxn id="18" idx="3"/>
        </xdr:cNvCxnSpPr>
      </xdr:nvCxnSpPr>
      <xdr:spPr>
        <a:xfrm flipH="1">
          <a:off x="9987201857" y="1239907"/>
          <a:ext cx="1744" cy="692840"/>
        </a:xfrm>
        <a:prstGeom prst="bentConnector3">
          <a:avLst>
            <a:gd name="adj1" fmla="val -11469323"/>
          </a:avLst>
        </a:prstGeom>
        <a:ln>
          <a:solidFill>
            <a:sysClr val="windowText" lastClr="00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314325</xdr:colOff>
      <xdr:row>13</xdr:row>
      <xdr:rowOff>114300</xdr:rowOff>
    </xdr:from>
    <xdr:to>
      <xdr:col>8</xdr:col>
      <xdr:colOff>466725</xdr:colOff>
      <xdr:row>13</xdr:row>
      <xdr:rowOff>114300</xdr:rowOff>
    </xdr:to>
    <xdr:cxnSp macro="">
      <xdr:nvCxnSpPr>
        <xdr:cNvPr id="24" name="מחבר חץ ישר 4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9982761975" y="2609850"/>
          <a:ext cx="5486400" cy="0"/>
        </a:xfrm>
        <a:prstGeom prst="straightConnector1">
          <a:avLst/>
        </a:prstGeom>
        <a:ln w="19050">
          <a:solidFill>
            <a:sysClr val="windowText" lastClr="00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96541</xdr:colOff>
      <xdr:row>13</xdr:row>
      <xdr:rowOff>47053</xdr:rowOff>
    </xdr:from>
    <xdr:to>
      <xdr:col>6</xdr:col>
      <xdr:colOff>96541</xdr:colOff>
      <xdr:row>13</xdr:row>
      <xdr:rowOff>156442</xdr:rowOff>
    </xdr:to>
    <xdr:cxnSp macro="">
      <xdr:nvCxnSpPr>
        <xdr:cNvPr id="25" name="מחבר ישר 4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9984418034" y="2542603"/>
          <a:ext cx="0" cy="10938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484528</xdr:colOff>
      <xdr:row>5</xdr:row>
      <xdr:rowOff>146189</xdr:rowOff>
    </xdr:from>
    <xdr:to>
      <xdr:col>6</xdr:col>
      <xdr:colOff>408328</xdr:colOff>
      <xdr:row>10</xdr:row>
      <xdr:rowOff>107674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9984106247" y="1108214"/>
          <a:ext cx="714375" cy="913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1100" b="0"/>
            <a:t>החזקה קיימת במניות ויני</a:t>
          </a:r>
        </a:p>
      </xdr:txBody>
    </xdr:sp>
    <xdr:clientData/>
  </xdr:twoCellAnchor>
  <xdr:twoCellAnchor>
    <xdr:from>
      <xdr:col>6</xdr:col>
      <xdr:colOff>778074</xdr:colOff>
      <xdr:row>6</xdr:row>
      <xdr:rowOff>49282</xdr:rowOff>
    </xdr:from>
    <xdr:to>
      <xdr:col>6</xdr:col>
      <xdr:colOff>779818</xdr:colOff>
      <xdr:row>9</xdr:row>
      <xdr:rowOff>161097</xdr:rowOff>
    </xdr:to>
    <xdr:cxnSp macro="">
      <xdr:nvCxnSpPr>
        <xdr:cNvPr id="27" name="מחבר מרפקי 50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>
          <a:stCxn id="12" idx="3"/>
          <a:endCxn id="13" idx="3"/>
        </xdr:cNvCxnSpPr>
      </xdr:nvCxnSpPr>
      <xdr:spPr>
        <a:xfrm flipH="1">
          <a:off x="9983925257" y="1201807"/>
          <a:ext cx="1744" cy="683315"/>
        </a:xfrm>
        <a:prstGeom prst="bentConnector3">
          <a:avLst>
            <a:gd name="adj1" fmla="val -13107798"/>
          </a:avLst>
        </a:prstGeom>
        <a:ln>
          <a:solidFill>
            <a:sysClr val="windowText" lastClr="000000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507424</xdr:colOff>
      <xdr:row>11</xdr:row>
      <xdr:rowOff>120687</xdr:rowOff>
    </xdr:from>
    <xdr:to>
      <xdr:col>6</xdr:col>
      <xdr:colOff>556929</xdr:colOff>
      <xdr:row>13</xdr:row>
      <xdr:rowOff>992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9983957646" y="2235237"/>
          <a:ext cx="840080" cy="26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1100" b="1"/>
            <a:t>30/9/2015</a:t>
          </a:r>
        </a:p>
      </xdr:txBody>
    </xdr:sp>
    <xdr:clientData/>
  </xdr:twoCellAnchor>
  <xdr:twoCellAnchor>
    <xdr:from>
      <xdr:col>5</xdr:col>
      <xdr:colOff>457780</xdr:colOff>
      <xdr:row>14</xdr:row>
      <xdr:rowOff>166537</xdr:rowOff>
    </xdr:from>
    <xdr:to>
      <xdr:col>7</xdr:col>
      <xdr:colOff>188125</xdr:colOff>
      <xdr:row>18</xdr:row>
      <xdr:rowOff>133350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983735900" y="2852587"/>
          <a:ext cx="1111470" cy="7288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 b="0"/>
            <a:t>מכירת מניות חברת ויני על ידי חברת צ'ייס</a:t>
          </a:r>
        </a:p>
      </xdr:txBody>
    </xdr:sp>
    <xdr:clientData/>
  </xdr:twoCellAnchor>
  <xdr:twoCellAnchor>
    <xdr:from>
      <xdr:col>3</xdr:col>
      <xdr:colOff>394745</xdr:colOff>
      <xdr:row>13</xdr:row>
      <xdr:rowOff>47053</xdr:rowOff>
    </xdr:from>
    <xdr:to>
      <xdr:col>3</xdr:col>
      <xdr:colOff>394745</xdr:colOff>
      <xdr:row>13</xdr:row>
      <xdr:rowOff>156442</xdr:rowOff>
    </xdr:to>
    <xdr:cxnSp macro="">
      <xdr:nvCxnSpPr>
        <xdr:cNvPr id="30" name="מחבר ישר 5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9986234380" y="2542603"/>
          <a:ext cx="0" cy="10938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705716</xdr:colOff>
      <xdr:row>11</xdr:row>
      <xdr:rowOff>120687</xdr:rowOff>
    </xdr:from>
    <xdr:to>
      <xdr:col>4</xdr:col>
      <xdr:colOff>167866</xdr:colOff>
      <xdr:row>12</xdr:row>
      <xdr:rowOff>181967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9985775459" y="2235237"/>
          <a:ext cx="909950" cy="251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1100" b="1"/>
            <a:t>31/12/2015</a:t>
          </a:r>
        </a:p>
      </xdr:txBody>
    </xdr:sp>
    <xdr:clientData/>
  </xdr:twoCellAnchor>
  <xdr:twoCellAnchor>
    <xdr:from>
      <xdr:col>2</xdr:col>
      <xdr:colOff>364436</xdr:colOff>
      <xdr:row>14</xdr:row>
      <xdr:rowOff>166537</xdr:rowOff>
    </xdr:from>
    <xdr:to>
      <xdr:col>4</xdr:col>
      <xdr:colOff>377192</xdr:colOff>
      <xdr:row>19</xdr:row>
      <xdr:rowOff>114300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9985566133" y="2852587"/>
          <a:ext cx="1460556" cy="9097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 b="0">
              <a:sym typeface="Symbol" panose="05050102010706020507" pitchFamily="18" charset="2"/>
            </a:rPr>
            <a:t>שינוי יחס</a:t>
          </a:r>
          <a:r>
            <a:rPr lang="he-IL" sz="1100" b="0" baseline="0">
              <a:sym typeface="Symbol" panose="05050102010706020507" pitchFamily="18" charset="2"/>
            </a:rPr>
            <a:t> המרה         בחברת צ'ייס והמרת אופציות סדרה א'</a:t>
          </a:r>
          <a:endParaRPr lang="he-IL" sz="1100" b="0"/>
        </a:p>
      </xdr:txBody>
    </xdr:sp>
    <xdr:clientData/>
  </xdr:twoCellAnchor>
  <xdr:twoCellAnchor>
    <xdr:from>
      <xdr:col>4</xdr:col>
      <xdr:colOff>136704</xdr:colOff>
      <xdr:row>202</xdr:row>
      <xdr:rowOff>79589</xdr:rowOff>
    </xdr:from>
    <xdr:to>
      <xdr:col>4</xdr:col>
      <xdr:colOff>248478</xdr:colOff>
      <xdr:row>206</xdr:row>
      <xdr:rowOff>66261</xdr:rowOff>
    </xdr:to>
    <xdr:cxnSp macro="">
      <xdr:nvCxnSpPr>
        <xdr:cNvPr id="33" name="Elbow Connector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 rot="5400000">
          <a:off x="9985371635" y="40636401"/>
          <a:ext cx="758197" cy="111774"/>
        </a:xfrm>
        <a:prstGeom prst="bentConnector3">
          <a:avLst>
            <a:gd name="adj1" fmla="val -501"/>
          </a:avLst>
        </a:prstGeom>
        <a:ln>
          <a:solidFill>
            <a:sysClr val="windowText" lastClr="00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-1345569722</xdr:colOff>
      <xdr:row>14</xdr:row>
      <xdr:rowOff>43954</xdr:rowOff>
    </xdr:from>
    <xdr:to>
      <xdr:col>0</xdr:col>
      <xdr:colOff>-1344458666</xdr:colOff>
      <xdr:row>18</xdr:row>
      <xdr:rowOff>10767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1333021366" y="2720479"/>
          <a:ext cx="1111056" cy="7288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 b="0"/>
            <a:t>מכירת מניות חברת ויני על ידי חברת צ'ייס</a:t>
          </a:r>
        </a:p>
      </xdr:txBody>
    </xdr:sp>
    <xdr:clientData/>
  </xdr:twoCellAnchor>
  <xdr:twoCellAnchor>
    <xdr:from>
      <xdr:col>4</xdr:col>
      <xdr:colOff>457415</xdr:colOff>
      <xdr:row>200</xdr:row>
      <xdr:rowOff>14294</xdr:rowOff>
    </xdr:from>
    <xdr:to>
      <xdr:col>8</xdr:col>
      <xdr:colOff>109545</xdr:colOff>
      <xdr:row>202</xdr:row>
      <xdr:rowOff>80555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9983119155" y="39866894"/>
          <a:ext cx="2366755" cy="447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050" b="0"/>
            <a:t>בראיית</a:t>
          </a:r>
          <a:r>
            <a:rPr lang="he-IL" sz="1050" b="0" baseline="0"/>
            <a:t> המאוחד, מנקודה זו ואילך קיימות במחזור 75% מאגרות החוב להמרה </a:t>
          </a:r>
          <a:r>
            <a:rPr lang="he-IL" sz="105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בלבד </a:t>
          </a:r>
          <a:endParaRPr lang="he-IL" sz="1050" b="0"/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6"/>
  <sheetViews>
    <sheetView rightToLeft="1" tabSelected="1" zoomScaleNormal="100" zoomScaleSheetLayoutView="120" workbookViewId="0">
      <selection activeCell="I14" sqref="I14"/>
    </sheetView>
  </sheetViews>
  <sheetFormatPr defaultColWidth="9.125" defaultRowHeight="14.25" x14ac:dyDescent="0.2"/>
  <cols>
    <col min="1" max="1" width="8.25" style="1" customWidth="1"/>
    <col min="2" max="2" width="10.75" style="1" customWidth="1"/>
    <col min="3" max="3" width="11.375" style="1" customWidth="1"/>
    <col min="4" max="4" width="10.25" style="1" customWidth="1"/>
    <col min="5" max="5" width="9.625" style="5" customWidth="1"/>
    <col min="6" max="6" width="11.875" style="1" customWidth="1"/>
    <col min="7" max="7" width="8.875" style="1" customWidth="1"/>
    <col min="8" max="8" width="11.25" style="1" customWidth="1"/>
    <col min="9" max="9" width="15.875" style="1" customWidth="1"/>
    <col min="10" max="16384" width="9.125" style="1"/>
  </cols>
  <sheetData>
    <row r="1" spans="1:9" ht="16.5" thickBot="1" x14ac:dyDescent="0.3">
      <c r="A1" s="121" t="s">
        <v>25</v>
      </c>
      <c r="B1" s="122"/>
      <c r="C1" s="122"/>
      <c r="D1" s="122"/>
      <c r="E1" s="122"/>
      <c r="F1" s="122"/>
      <c r="G1" s="122"/>
      <c r="H1" s="122"/>
      <c r="I1" s="123"/>
    </row>
    <row r="2" spans="1:9" x14ac:dyDescent="0.2">
      <c r="E2" s="1"/>
    </row>
    <row r="3" spans="1:9" x14ac:dyDescent="0.2">
      <c r="E3" s="1"/>
    </row>
    <row r="4" spans="1:9" x14ac:dyDescent="0.2">
      <c r="E4" s="1"/>
    </row>
    <row r="5" spans="1:9" x14ac:dyDescent="0.2">
      <c r="E5" s="1"/>
    </row>
    <row r="6" spans="1:9" x14ac:dyDescent="0.2">
      <c r="E6" s="1"/>
    </row>
    <row r="7" spans="1:9" x14ac:dyDescent="0.2">
      <c r="E7" s="1"/>
    </row>
    <row r="8" spans="1:9" x14ac:dyDescent="0.2">
      <c r="E8" s="1"/>
    </row>
    <row r="9" spans="1:9" x14ac:dyDescent="0.2">
      <c r="E9" s="1"/>
    </row>
    <row r="10" spans="1:9" x14ac:dyDescent="0.2">
      <c r="E10" s="1"/>
    </row>
    <row r="11" spans="1:9" x14ac:dyDescent="0.2">
      <c r="E11" s="1"/>
    </row>
    <row r="12" spans="1:9" x14ac:dyDescent="0.2">
      <c r="E12" s="1"/>
    </row>
    <row r="13" spans="1:9" x14ac:dyDescent="0.2">
      <c r="E13" s="1"/>
    </row>
    <row r="14" spans="1:9" x14ac:dyDescent="0.2">
      <c r="E14" s="1"/>
    </row>
    <row r="15" spans="1:9" x14ac:dyDescent="0.2">
      <c r="E15" s="1"/>
    </row>
    <row r="16" spans="1:9" x14ac:dyDescent="0.2">
      <c r="E16" s="1"/>
    </row>
    <row r="17" spans="1:9" x14ac:dyDescent="0.2">
      <c r="E17" s="1"/>
    </row>
    <row r="18" spans="1:9" x14ac:dyDescent="0.2">
      <c r="E18" s="1"/>
    </row>
    <row r="19" spans="1:9" ht="15" thickBot="1" x14ac:dyDescent="0.25">
      <c r="E19" s="1"/>
    </row>
    <row r="20" spans="1:9" ht="15" thickBot="1" x14ac:dyDescent="0.25">
      <c r="A20" s="115" t="s">
        <v>28</v>
      </c>
      <c r="B20" s="116"/>
      <c r="C20" s="116"/>
      <c r="D20" s="116"/>
      <c r="E20" s="116"/>
      <c r="F20" s="116"/>
      <c r="G20" s="116"/>
      <c r="H20" s="116"/>
      <c r="I20" s="117"/>
    </row>
    <row r="22" spans="1:9" x14ac:dyDescent="0.2">
      <c r="A22" s="1" t="s">
        <v>1</v>
      </c>
      <c r="D22" s="6">
        <v>200000</v>
      </c>
      <c r="I22" s="11"/>
    </row>
    <row r="23" spans="1:9" x14ac:dyDescent="0.2">
      <c r="A23" s="1" t="s">
        <v>2</v>
      </c>
      <c r="D23" s="6">
        <f>400000-200000</f>
        <v>200000</v>
      </c>
      <c r="I23" s="11" t="s">
        <v>26</v>
      </c>
    </row>
    <row r="24" spans="1:9" x14ac:dyDescent="0.2">
      <c r="A24" s="1" t="s">
        <v>3</v>
      </c>
      <c r="D24" s="6">
        <v>150000</v>
      </c>
      <c r="I24" s="11" t="s">
        <v>27</v>
      </c>
    </row>
    <row r="25" spans="1:9" ht="15" thickBot="1" x14ac:dyDescent="0.25"/>
    <row r="26" spans="1:9" ht="15" thickBot="1" x14ac:dyDescent="0.25">
      <c r="A26" s="115" t="s">
        <v>29</v>
      </c>
      <c r="B26" s="116"/>
      <c r="C26" s="116"/>
      <c r="D26" s="116"/>
      <c r="E26" s="116"/>
      <c r="F26" s="116"/>
      <c r="G26" s="116"/>
      <c r="H26" s="116"/>
      <c r="I26" s="117"/>
    </row>
    <row r="27" spans="1:9" x14ac:dyDescent="0.2">
      <c r="A27" s="1" t="s">
        <v>30</v>
      </c>
    </row>
    <row r="28" spans="1:9" x14ac:dyDescent="0.2">
      <c r="A28" s="1" t="s">
        <v>134</v>
      </c>
    </row>
    <row r="30" spans="1:9" ht="15" x14ac:dyDescent="0.25">
      <c r="A30" s="2" t="s">
        <v>76</v>
      </c>
    </row>
    <row r="31" spans="1:9" x14ac:dyDescent="0.2">
      <c r="A31" s="1" t="s">
        <v>31</v>
      </c>
      <c r="D31" s="30">
        <v>700000</v>
      </c>
      <c r="G31" s="60"/>
    </row>
    <row r="32" spans="1:9" x14ac:dyDescent="0.2">
      <c r="A32" s="1" t="s">
        <v>32</v>
      </c>
      <c r="D32" s="6">
        <f>-700000*10%</f>
        <v>-70000</v>
      </c>
      <c r="G32" s="60"/>
      <c r="I32" s="1" t="s">
        <v>35</v>
      </c>
    </row>
    <row r="33" spans="1:10" ht="15.75" thickBot="1" x14ac:dyDescent="0.3">
      <c r="A33" s="1" t="s">
        <v>33</v>
      </c>
      <c r="D33" s="31">
        <f>D34-D32-D31</f>
        <v>50000</v>
      </c>
      <c r="F33" s="26" t="s">
        <v>125</v>
      </c>
      <c r="G33" s="60"/>
    </row>
    <row r="34" spans="1:10" ht="15" thickTop="1" x14ac:dyDescent="0.2">
      <c r="A34" s="1" t="s">
        <v>34</v>
      </c>
      <c r="D34" s="6">
        <v>680000</v>
      </c>
      <c r="G34" s="60"/>
    </row>
    <row r="35" spans="1:10" x14ac:dyDescent="0.2">
      <c r="D35" s="6"/>
    </row>
    <row r="36" spans="1:10" ht="15" x14ac:dyDescent="0.25">
      <c r="A36" s="26" t="s">
        <v>125</v>
      </c>
      <c r="B36" s="1" t="s">
        <v>127</v>
      </c>
      <c r="D36" s="6">
        <f>100000*7.5</f>
        <v>750000</v>
      </c>
      <c r="I36" s="1" t="s">
        <v>129</v>
      </c>
    </row>
    <row r="37" spans="1:10" ht="15" x14ac:dyDescent="0.25">
      <c r="A37" s="26"/>
      <c r="B37" s="1" t="s">
        <v>31</v>
      </c>
      <c r="D37" s="30">
        <f>D31</f>
        <v>700000</v>
      </c>
    </row>
    <row r="38" spans="1:10" ht="15" x14ac:dyDescent="0.25">
      <c r="A38" s="26"/>
      <c r="B38" s="1" t="s">
        <v>128</v>
      </c>
      <c r="D38" s="6">
        <f>D36-D37</f>
        <v>50000</v>
      </c>
    </row>
    <row r="39" spans="1:10" ht="15" thickBot="1" x14ac:dyDescent="0.25">
      <c r="B39" s="1" t="s">
        <v>126</v>
      </c>
      <c r="D39" s="31">
        <f>D38*90%</f>
        <v>45000</v>
      </c>
      <c r="I39" s="1" t="s">
        <v>256</v>
      </c>
    </row>
    <row r="40" spans="1:10" ht="15" thickTop="1" x14ac:dyDescent="0.2">
      <c r="B40" s="1" t="s">
        <v>130</v>
      </c>
      <c r="D40" s="6">
        <f>D33-D39</f>
        <v>5000</v>
      </c>
      <c r="I40" s="1" t="s">
        <v>131</v>
      </c>
    </row>
    <row r="41" spans="1:10" x14ac:dyDescent="0.2">
      <c r="D41" s="6"/>
    </row>
    <row r="42" spans="1:10" ht="15" thickBot="1" x14ac:dyDescent="0.25">
      <c r="H42" s="62" t="s">
        <v>133</v>
      </c>
    </row>
    <row r="43" spans="1:10" ht="15" x14ac:dyDescent="0.25">
      <c r="A43" s="32" t="s">
        <v>70</v>
      </c>
      <c r="B43" s="15"/>
      <c r="C43" s="15"/>
      <c r="D43" s="15"/>
      <c r="E43" s="33"/>
      <c r="H43" s="61" t="s">
        <v>43</v>
      </c>
      <c r="I43" s="45"/>
    </row>
    <row r="44" spans="1:10" x14ac:dyDescent="0.2">
      <c r="A44" s="18" t="s">
        <v>36</v>
      </c>
      <c r="B44" s="19"/>
      <c r="C44" s="19"/>
      <c r="D44" s="25">
        <f>D31-20000*4</f>
        <v>620000</v>
      </c>
      <c r="E44" s="34"/>
      <c r="I44" s="1" t="s">
        <v>132</v>
      </c>
    </row>
    <row r="45" spans="1:10" x14ac:dyDescent="0.2">
      <c r="A45" s="18" t="s">
        <v>12</v>
      </c>
      <c r="B45" s="19"/>
      <c r="C45" s="19"/>
      <c r="D45" s="25">
        <f>20000*4</f>
        <v>80000</v>
      </c>
      <c r="E45" s="34"/>
      <c r="I45" s="1" t="s">
        <v>40</v>
      </c>
    </row>
    <row r="46" spans="1:10" x14ac:dyDescent="0.2">
      <c r="A46" s="18" t="s">
        <v>37</v>
      </c>
      <c r="B46" s="19"/>
      <c r="C46" s="19"/>
      <c r="D46" s="25">
        <f>D33</f>
        <v>50000</v>
      </c>
      <c r="E46" s="34"/>
    </row>
    <row r="47" spans="1:10" x14ac:dyDescent="0.2">
      <c r="A47" s="35" t="s">
        <v>38</v>
      </c>
      <c r="B47" s="19"/>
      <c r="C47" s="19"/>
      <c r="D47" s="4"/>
      <c r="E47" s="36">
        <f>-D32</f>
        <v>70000</v>
      </c>
      <c r="F47" s="108"/>
      <c r="G47" s="108"/>
      <c r="H47" s="108"/>
      <c r="I47" s="108"/>
      <c r="J47" s="108"/>
    </row>
    <row r="48" spans="1:10" ht="15" thickBot="1" x14ac:dyDescent="0.25">
      <c r="A48" s="37" t="s">
        <v>39</v>
      </c>
      <c r="B48" s="21"/>
      <c r="C48" s="21"/>
      <c r="D48" s="22"/>
      <c r="E48" s="39">
        <f>D34</f>
        <v>680000</v>
      </c>
    </row>
    <row r="49" spans="1:9" ht="15" thickBot="1" x14ac:dyDescent="0.25"/>
    <row r="50" spans="1:9" ht="15" thickBot="1" x14ac:dyDescent="0.25">
      <c r="A50" s="115" t="s">
        <v>56</v>
      </c>
      <c r="B50" s="116"/>
      <c r="C50" s="116"/>
      <c r="D50" s="116"/>
      <c r="E50" s="116"/>
      <c r="F50" s="116"/>
      <c r="G50" s="116"/>
      <c r="H50" s="116"/>
      <c r="I50" s="117"/>
    </row>
    <row r="52" spans="1:9" ht="15" x14ac:dyDescent="0.25">
      <c r="A52" s="100" t="s">
        <v>41</v>
      </c>
      <c r="B52" s="97"/>
      <c r="C52" s="97"/>
      <c r="D52" s="97"/>
      <c r="E52" s="99"/>
      <c r="F52" s="97"/>
      <c r="G52" s="97"/>
      <c r="H52" s="97"/>
      <c r="I52" s="97"/>
    </row>
    <row r="53" spans="1:9" x14ac:dyDescent="0.2">
      <c r="A53" s="101" t="s">
        <v>253</v>
      </c>
      <c r="B53" s="97"/>
      <c r="C53" s="97"/>
      <c r="D53" s="102">
        <f>90000/(100000+(15000*(7.5-7)/7.5)+100000*5/10)</f>
        <v>0.59602649006622521</v>
      </c>
      <c r="E53" s="99"/>
      <c r="F53" s="103"/>
      <c r="G53" s="97"/>
      <c r="H53" s="97"/>
      <c r="I53" s="97" t="s">
        <v>263</v>
      </c>
    </row>
    <row r="54" spans="1:9" ht="15" x14ac:dyDescent="0.25">
      <c r="A54" s="2"/>
      <c r="C54" s="41" t="s">
        <v>43</v>
      </c>
    </row>
    <row r="55" spans="1:9" x14ac:dyDescent="0.2">
      <c r="C55" s="40" t="s">
        <v>42</v>
      </c>
      <c r="F55" s="10"/>
    </row>
    <row r="56" spans="1:9" x14ac:dyDescent="0.2">
      <c r="C56" s="40"/>
      <c r="G56" s="10"/>
    </row>
    <row r="57" spans="1:9" ht="15" x14ac:dyDescent="0.25">
      <c r="A57" s="2" t="s">
        <v>44</v>
      </c>
      <c r="C57" s="40"/>
    </row>
    <row r="58" spans="1:9" x14ac:dyDescent="0.2">
      <c r="A58" s="1" t="s">
        <v>46</v>
      </c>
      <c r="C58" s="40"/>
      <c r="D58" s="1">
        <v>1100000</v>
      </c>
    </row>
    <row r="59" spans="1:9" x14ac:dyDescent="0.2">
      <c r="A59" s="3" t="s">
        <v>67</v>
      </c>
      <c r="C59" s="40"/>
    </row>
    <row r="60" spans="1:9" x14ac:dyDescent="0.2">
      <c r="A60" s="1" t="s">
        <v>45</v>
      </c>
      <c r="C60" s="40"/>
      <c r="D60" s="1">
        <f>D70</f>
        <v>550756.92067267455</v>
      </c>
      <c r="H60" s="1" t="s">
        <v>49</v>
      </c>
    </row>
    <row r="61" spans="1:9" x14ac:dyDescent="0.2">
      <c r="A61" s="1" t="s">
        <v>47</v>
      </c>
      <c r="C61" s="40"/>
      <c r="D61" s="9">
        <f>100000*4</f>
        <v>400000</v>
      </c>
      <c r="H61" s="1" t="s">
        <v>50</v>
      </c>
    </row>
    <row r="62" spans="1:9" ht="15" x14ac:dyDescent="0.25">
      <c r="A62" s="1" t="s">
        <v>48</v>
      </c>
      <c r="C62" s="40"/>
      <c r="D62" s="1">
        <f>D58-D60-D61</f>
        <v>149243.07932732545</v>
      </c>
      <c r="E62" s="42" t="s">
        <v>52</v>
      </c>
      <c r="F62" s="1" t="s">
        <v>51</v>
      </c>
    </row>
    <row r="63" spans="1:9" ht="15" x14ac:dyDescent="0.25">
      <c r="A63" s="3" t="s">
        <v>66</v>
      </c>
      <c r="C63" s="40"/>
      <c r="E63" s="42"/>
    </row>
    <row r="64" spans="1:9" ht="15" x14ac:dyDescent="0.25">
      <c r="A64" s="1" t="s">
        <v>64</v>
      </c>
      <c r="C64" s="40"/>
      <c r="D64" s="1">
        <f>D62*D79/D81</f>
        <v>43423.865977740075</v>
      </c>
      <c r="E64" s="42"/>
      <c r="I64" s="1" t="s">
        <v>68</v>
      </c>
    </row>
    <row r="65" spans="1:9" ht="15" x14ac:dyDescent="0.25">
      <c r="A65" s="1" t="s">
        <v>65</v>
      </c>
      <c r="C65" s="40"/>
      <c r="D65" s="1">
        <f>D62*D80/D81</f>
        <v>105819.21334958536</v>
      </c>
      <c r="E65" s="42"/>
      <c r="I65" s="1" t="s">
        <v>69</v>
      </c>
    </row>
    <row r="66" spans="1:9" ht="15" x14ac:dyDescent="0.25">
      <c r="C66" s="40"/>
      <c r="E66" s="42"/>
    </row>
    <row r="67" spans="1:9" ht="15" x14ac:dyDescent="0.25">
      <c r="A67" s="1" t="s">
        <v>61</v>
      </c>
      <c r="C67" s="40"/>
      <c r="D67" s="1">
        <f>D81</f>
        <v>169243.07932732545</v>
      </c>
      <c r="E67" s="42"/>
      <c r="H67" s="1" t="s">
        <v>62</v>
      </c>
    </row>
    <row r="68" spans="1:9" x14ac:dyDescent="0.2">
      <c r="C68" s="40"/>
    </row>
    <row r="69" spans="1:9" x14ac:dyDescent="0.2">
      <c r="A69" s="43" t="s">
        <v>53</v>
      </c>
      <c r="B69" s="43"/>
      <c r="C69" s="44"/>
      <c r="D69" s="43"/>
    </row>
    <row r="70" spans="1:9" ht="15" x14ac:dyDescent="0.25">
      <c r="A70" s="1" t="s">
        <v>14</v>
      </c>
      <c r="C70" s="40"/>
      <c r="D70" s="1">
        <f>-PV(5%,6,35000,500000)</f>
        <v>550756.92067267455</v>
      </c>
      <c r="E70" s="42" t="s">
        <v>55</v>
      </c>
      <c r="I70" s="1" t="s">
        <v>90</v>
      </c>
    </row>
    <row r="71" spans="1:9" x14ac:dyDescent="0.2">
      <c r="A71" s="1" t="s">
        <v>15</v>
      </c>
      <c r="C71" s="40"/>
      <c r="D71" s="9">
        <f>D72-D70</f>
        <v>49243.079327325453</v>
      </c>
      <c r="I71" s="1" t="s">
        <v>57</v>
      </c>
    </row>
    <row r="72" spans="1:9" x14ac:dyDescent="0.2">
      <c r="A72" s="1" t="s">
        <v>54</v>
      </c>
      <c r="C72" s="40"/>
      <c r="D72" s="1">
        <f>100000*6</f>
        <v>600000</v>
      </c>
      <c r="I72" s="1" t="s">
        <v>257</v>
      </c>
    </row>
    <row r="73" spans="1:9" x14ac:dyDescent="0.2">
      <c r="C73" s="40"/>
    </row>
    <row r="74" spans="1:9" x14ac:dyDescent="0.2">
      <c r="A74" s="43" t="s">
        <v>60</v>
      </c>
      <c r="B74" s="43"/>
      <c r="C74" s="44"/>
      <c r="D74" s="43"/>
    </row>
    <row r="75" spans="1:9" x14ac:dyDescent="0.2">
      <c r="A75" s="1" t="s">
        <v>58</v>
      </c>
      <c r="C75" s="40"/>
    </row>
    <row r="76" spans="1:9" x14ac:dyDescent="0.2">
      <c r="A76" s="1" t="s">
        <v>59</v>
      </c>
      <c r="C76" s="40"/>
    </row>
    <row r="78" spans="1:9" x14ac:dyDescent="0.2">
      <c r="A78" s="43" t="s">
        <v>63</v>
      </c>
      <c r="B78" s="43"/>
      <c r="C78" s="44"/>
      <c r="D78" s="43"/>
    </row>
    <row r="79" spans="1:9" x14ac:dyDescent="0.2">
      <c r="A79" s="1" t="s">
        <v>64</v>
      </c>
      <c r="D79" s="1">
        <f>D71</f>
        <v>49243.079327325453</v>
      </c>
      <c r="I79" s="1" t="s">
        <v>16</v>
      </c>
    </row>
    <row r="80" spans="1:9" x14ac:dyDescent="0.2">
      <c r="A80" s="97" t="s">
        <v>65</v>
      </c>
      <c r="B80" s="97"/>
      <c r="C80" s="97"/>
      <c r="D80" s="98">
        <f>100000*4*0.3</f>
        <v>120000</v>
      </c>
      <c r="E80" s="99"/>
      <c r="F80" s="97"/>
      <c r="G80" s="97"/>
      <c r="H80" s="97"/>
      <c r="I80" s="97"/>
    </row>
    <row r="81" spans="1:8" x14ac:dyDescent="0.2">
      <c r="D81" s="1">
        <f>D79+D80</f>
        <v>169243.07932732545</v>
      </c>
    </row>
    <row r="83" spans="1:8" ht="15" x14ac:dyDescent="0.25">
      <c r="A83" s="2" t="s">
        <v>71</v>
      </c>
    </row>
    <row r="84" spans="1:8" x14ac:dyDescent="0.2">
      <c r="A84" s="1" t="s">
        <v>240</v>
      </c>
    </row>
    <row r="85" spans="1:8" x14ac:dyDescent="0.2">
      <c r="A85" s="1" t="s">
        <v>72</v>
      </c>
    </row>
    <row r="86" spans="1:8" x14ac:dyDescent="0.2">
      <c r="A86" s="1" t="s">
        <v>137</v>
      </c>
    </row>
    <row r="87" spans="1:8" x14ac:dyDescent="0.2">
      <c r="D87" s="19"/>
      <c r="E87" s="4"/>
      <c r="F87" s="19"/>
      <c r="G87" s="19"/>
      <c r="H87" s="19"/>
    </row>
    <row r="88" spans="1:8" ht="15" thickBot="1" x14ac:dyDescent="0.25">
      <c r="D88" s="21" t="s">
        <v>73</v>
      </c>
      <c r="E88" s="22"/>
      <c r="F88" s="21" t="s">
        <v>74</v>
      </c>
      <c r="G88" s="21"/>
      <c r="H88" s="21" t="s">
        <v>75</v>
      </c>
    </row>
    <row r="89" spans="1:8" x14ac:dyDescent="0.2">
      <c r="A89" s="1" t="str">
        <f>A60</f>
        <v>אג"ח להמרה - רכיב התחייבותי</v>
      </c>
      <c r="D89" s="1">
        <f>D60</f>
        <v>550756.92067267455</v>
      </c>
      <c r="F89" s="1">
        <f>-50000*D89/$D$93</f>
        <v>-25034.40548512157</v>
      </c>
      <c r="H89" s="1">
        <f>D89+F89</f>
        <v>525722.51518755301</v>
      </c>
    </row>
    <row r="90" spans="1:8" x14ac:dyDescent="0.2">
      <c r="A90" s="1" t="str">
        <f>A61</f>
        <v>מניות בכורה - רכיב התחייבותי</v>
      </c>
      <c r="D90" s="1">
        <f>D61</f>
        <v>400000</v>
      </c>
      <c r="F90" s="1">
        <f t="shared" ref="F90:F92" si="0">-50000*D90/$D$93</f>
        <v>-18181.81818181818</v>
      </c>
      <c r="H90" s="1">
        <f t="shared" ref="H90:H92" si="1">D90+F90</f>
        <v>381818.18181818182</v>
      </c>
    </row>
    <row r="91" spans="1:8" x14ac:dyDescent="0.2">
      <c r="A91" s="1" t="str">
        <f>A64</f>
        <v>אג"ח להמרה - רכיב הוני</v>
      </c>
      <c r="D91" s="19">
        <f>D64</f>
        <v>43423.865977740075</v>
      </c>
      <c r="E91" s="4"/>
      <c r="F91" s="19">
        <f t="shared" si="0"/>
        <v>-1973.8120898972763</v>
      </c>
      <c r="G91" s="19"/>
      <c r="H91" s="1">
        <f t="shared" si="1"/>
        <v>41450.053887842798</v>
      </c>
    </row>
    <row r="92" spans="1:8" ht="15" thickBot="1" x14ac:dyDescent="0.25">
      <c r="A92" s="1" t="str">
        <f>A65</f>
        <v>מניות בכורה - רכיב הוני</v>
      </c>
      <c r="D92" s="28">
        <f>D65</f>
        <v>105819.21334958536</v>
      </c>
      <c r="E92" s="29"/>
      <c r="F92" s="28">
        <f t="shared" si="0"/>
        <v>-4809.9642431629709</v>
      </c>
      <c r="G92" s="28"/>
      <c r="H92" s="28">
        <f t="shared" si="1"/>
        <v>101009.24910642239</v>
      </c>
    </row>
    <row r="93" spans="1:8" ht="15" thickTop="1" x14ac:dyDescent="0.2">
      <c r="D93" s="1">
        <f>SUM(D89:D92)</f>
        <v>1100000</v>
      </c>
      <c r="F93" s="1">
        <f>SUM(F89:F92)</f>
        <v>-50000</v>
      </c>
      <c r="H93" s="1">
        <f>SUM(H89:H92)</f>
        <v>1050000</v>
      </c>
    </row>
    <row r="95" spans="1:8" ht="15" x14ac:dyDescent="0.25">
      <c r="A95" s="46" t="s">
        <v>81</v>
      </c>
      <c r="B95" s="12"/>
      <c r="C95" s="12"/>
      <c r="D95" s="12"/>
      <c r="E95" s="49"/>
      <c r="F95" s="6"/>
    </row>
    <row r="96" spans="1:8" x14ac:dyDescent="0.2">
      <c r="A96" s="13" t="s">
        <v>0</v>
      </c>
      <c r="B96" s="19"/>
      <c r="C96" s="19"/>
      <c r="D96" s="19">
        <f>D93</f>
        <v>1100000</v>
      </c>
      <c r="E96" s="50"/>
      <c r="F96" s="6"/>
    </row>
    <row r="97" spans="1:9" x14ac:dyDescent="0.2">
      <c r="A97" s="47" t="s">
        <v>77</v>
      </c>
      <c r="B97" s="19"/>
      <c r="C97" s="19"/>
      <c r="D97" s="19"/>
      <c r="E97" s="50">
        <f>H89</f>
        <v>525722.51518755301</v>
      </c>
      <c r="F97" s="6"/>
    </row>
    <row r="98" spans="1:9" x14ac:dyDescent="0.2">
      <c r="A98" s="47" t="s">
        <v>78</v>
      </c>
      <c r="B98" s="19"/>
      <c r="C98" s="19"/>
      <c r="D98" s="19"/>
      <c r="E98" s="50">
        <f>H90</f>
        <v>381818.18181818182</v>
      </c>
      <c r="F98" s="6"/>
    </row>
    <row r="99" spans="1:9" x14ac:dyDescent="0.2">
      <c r="A99" s="47" t="s">
        <v>79</v>
      </c>
      <c r="B99" s="19"/>
      <c r="C99" s="19"/>
      <c r="D99" s="19"/>
      <c r="E99" s="50">
        <f>H91</f>
        <v>41450.053887842798</v>
      </c>
      <c r="F99" s="6"/>
    </row>
    <row r="100" spans="1:9" x14ac:dyDescent="0.2">
      <c r="A100" s="47" t="s">
        <v>80</v>
      </c>
      <c r="B100" s="19"/>
      <c r="C100" s="19"/>
      <c r="D100" s="19"/>
      <c r="E100" s="50">
        <f>H92</f>
        <v>101009.24910642239</v>
      </c>
      <c r="F100" s="6"/>
    </row>
    <row r="101" spans="1:9" x14ac:dyDescent="0.2">
      <c r="A101" s="48" t="s">
        <v>136</v>
      </c>
      <c r="B101" s="9"/>
      <c r="C101" s="9"/>
      <c r="D101" s="9"/>
      <c r="E101" s="51">
        <f>-F93</f>
        <v>50000</v>
      </c>
      <c r="F101" s="6"/>
    </row>
    <row r="102" spans="1:9" ht="15" thickBot="1" x14ac:dyDescent="0.25">
      <c r="E102" s="6"/>
      <c r="F102" s="6"/>
    </row>
    <row r="103" spans="1:9" ht="15" x14ac:dyDescent="0.25">
      <c r="A103" s="32" t="s">
        <v>70</v>
      </c>
      <c r="B103" s="15"/>
      <c r="C103" s="15"/>
      <c r="D103" s="15"/>
      <c r="E103" s="53"/>
      <c r="F103" s="25"/>
    </row>
    <row r="104" spans="1:9" x14ac:dyDescent="0.2">
      <c r="A104" s="18" t="s">
        <v>0</v>
      </c>
      <c r="B104" s="19"/>
      <c r="C104" s="19"/>
      <c r="D104" s="25">
        <f>D93</f>
        <v>1100000</v>
      </c>
      <c r="E104" s="36"/>
      <c r="F104" s="19"/>
    </row>
    <row r="105" spans="1:9" x14ac:dyDescent="0.2">
      <c r="A105" s="35" t="s">
        <v>77</v>
      </c>
      <c r="B105" s="19"/>
      <c r="C105" s="19"/>
      <c r="D105" s="25"/>
      <c r="E105" s="36">
        <f>E97</f>
        <v>525722.51518755301</v>
      </c>
      <c r="F105" s="19"/>
    </row>
    <row r="106" spans="1:9" x14ac:dyDescent="0.2">
      <c r="A106" s="35" t="s">
        <v>78</v>
      </c>
      <c r="B106" s="19"/>
      <c r="C106" s="19"/>
      <c r="D106" s="25"/>
      <c r="E106" s="36">
        <f>E98</f>
        <v>381818.18181818182</v>
      </c>
      <c r="F106" s="19"/>
    </row>
    <row r="107" spans="1:9" ht="15" thickBot="1" x14ac:dyDescent="0.25">
      <c r="A107" s="37" t="s">
        <v>38</v>
      </c>
      <c r="B107" s="21"/>
      <c r="C107" s="21"/>
      <c r="D107" s="38"/>
      <c r="E107" s="39">
        <f>E99+E100+E101</f>
        <v>192459.30299426519</v>
      </c>
      <c r="F107" s="19"/>
      <c r="I107" s="1" t="s">
        <v>82</v>
      </c>
    </row>
    <row r="108" spans="1:9" ht="15" thickBot="1" x14ac:dyDescent="0.25"/>
    <row r="109" spans="1:9" ht="15" thickBot="1" x14ac:dyDescent="0.25">
      <c r="A109" s="115" t="s">
        <v>139</v>
      </c>
      <c r="B109" s="116"/>
      <c r="C109" s="116"/>
      <c r="D109" s="116"/>
      <c r="E109" s="116"/>
      <c r="F109" s="116"/>
      <c r="G109" s="116"/>
      <c r="H109" s="116"/>
      <c r="I109" s="117"/>
    </row>
    <row r="110" spans="1:9" x14ac:dyDescent="0.2">
      <c r="A110" s="3" t="s">
        <v>14</v>
      </c>
    </row>
    <row r="111" spans="1:9" x14ac:dyDescent="0.2">
      <c r="A111" s="1" t="s">
        <v>85</v>
      </c>
    </row>
    <row r="112" spans="1:9" x14ac:dyDescent="0.2">
      <c r="A112" s="1" t="s">
        <v>86</v>
      </c>
    </row>
    <row r="113" spans="1:9" ht="15" thickBot="1" x14ac:dyDescent="0.25"/>
    <row r="114" spans="1:9" ht="15" x14ac:dyDescent="0.25">
      <c r="A114" s="32" t="s">
        <v>70</v>
      </c>
      <c r="B114" s="15"/>
      <c r="C114" s="15"/>
      <c r="D114" s="15"/>
      <c r="E114" s="53"/>
      <c r="F114" s="25"/>
    </row>
    <row r="115" spans="1:9" x14ac:dyDescent="0.2">
      <c r="A115" s="18" t="s">
        <v>11</v>
      </c>
      <c r="B115" s="19"/>
      <c r="C115" s="19"/>
      <c r="D115" s="71">
        <f>-F90</f>
        <v>18181.81818181818</v>
      </c>
      <c r="E115" s="36"/>
      <c r="F115" s="19"/>
    </row>
    <row r="116" spans="1:9" ht="15" thickBot="1" x14ac:dyDescent="0.25">
      <c r="A116" s="37" t="s">
        <v>78</v>
      </c>
      <c r="B116" s="21"/>
      <c r="C116" s="21"/>
      <c r="D116" s="21"/>
      <c r="E116" s="39">
        <f>D115</f>
        <v>18181.81818181818</v>
      </c>
      <c r="F116" s="19"/>
    </row>
    <row r="117" spans="1:9" x14ac:dyDescent="0.2">
      <c r="A117" s="54"/>
      <c r="B117" s="19"/>
      <c r="C117" s="19"/>
      <c r="D117" s="19"/>
      <c r="E117" s="25"/>
      <c r="F117" s="19"/>
    </row>
    <row r="118" spans="1:9" x14ac:dyDescent="0.2">
      <c r="A118" s="64" t="s">
        <v>15</v>
      </c>
      <c r="B118" s="19"/>
      <c r="C118" s="19"/>
      <c r="D118" s="19"/>
      <c r="E118" s="25"/>
      <c r="F118" s="19"/>
    </row>
    <row r="119" spans="1:9" x14ac:dyDescent="0.2">
      <c r="A119" s="25" t="s">
        <v>146</v>
      </c>
      <c r="B119" s="19"/>
      <c r="C119" s="19"/>
      <c r="D119" s="19"/>
      <c r="E119" s="25"/>
      <c r="F119" s="19"/>
    </row>
    <row r="120" spans="1:9" ht="15" thickBot="1" x14ac:dyDescent="0.25">
      <c r="A120" s="54"/>
      <c r="B120" s="19"/>
      <c r="C120" s="19"/>
      <c r="D120" s="19"/>
      <c r="E120" s="19"/>
      <c r="F120" s="25"/>
    </row>
    <row r="121" spans="1:9" ht="15" thickBot="1" x14ac:dyDescent="0.25">
      <c r="A121" s="115" t="s">
        <v>87</v>
      </c>
      <c r="B121" s="116"/>
      <c r="C121" s="116"/>
      <c r="D121" s="116"/>
      <c r="E121" s="116"/>
      <c r="F121" s="116"/>
      <c r="G121" s="116"/>
      <c r="H121" s="116"/>
      <c r="I121" s="117"/>
    </row>
    <row r="122" spans="1:9" x14ac:dyDescent="0.2">
      <c r="A122" s="1" t="s">
        <v>83</v>
      </c>
    </row>
    <row r="123" spans="1:9" x14ac:dyDescent="0.2">
      <c r="A123" s="1" t="s">
        <v>254</v>
      </c>
    </row>
    <row r="124" spans="1:9" x14ac:dyDescent="0.2">
      <c r="A124" s="1" t="s">
        <v>84</v>
      </c>
    </row>
    <row r="126" spans="1:9" x14ac:dyDescent="0.2">
      <c r="A126" s="118" t="s">
        <v>88</v>
      </c>
      <c r="B126" s="119"/>
      <c r="C126" s="119"/>
      <c r="D126" s="119"/>
      <c r="E126" s="119"/>
      <c r="F126" s="119"/>
      <c r="G126" s="119"/>
      <c r="H126" s="119"/>
      <c r="I126" s="120"/>
    </row>
    <row r="128" spans="1:9" x14ac:dyDescent="0.2">
      <c r="A128" s="3" t="s">
        <v>89</v>
      </c>
    </row>
    <row r="130" spans="1:9" ht="15" x14ac:dyDescent="0.25">
      <c r="C130" s="55">
        <f>RATE(6,35000,-H89,500000)</f>
        <v>5.9552701763063591E-2</v>
      </c>
      <c r="D130" s="42" t="s">
        <v>55</v>
      </c>
      <c r="I130" s="1" t="s">
        <v>138</v>
      </c>
    </row>
    <row r="132" spans="1:9" x14ac:dyDescent="0.2">
      <c r="A132" s="1" t="s">
        <v>10</v>
      </c>
      <c r="D132" s="1">
        <f>H89</f>
        <v>525722.51518755301</v>
      </c>
    </row>
    <row r="133" spans="1:9" x14ac:dyDescent="0.2">
      <c r="A133" s="1" t="s">
        <v>91</v>
      </c>
      <c r="D133" s="9">
        <f>D134-D132</f>
        <v>15427.72883421462</v>
      </c>
      <c r="I133" s="1" t="s">
        <v>142</v>
      </c>
    </row>
    <row r="134" spans="1:9" x14ac:dyDescent="0.2">
      <c r="A134" s="1" t="s">
        <v>94</v>
      </c>
      <c r="D134" s="1">
        <f>D132*(1+C130)^(6/12)</f>
        <v>541150.24402176763</v>
      </c>
      <c r="I134" s="1" t="s">
        <v>92</v>
      </c>
    </row>
    <row r="135" spans="1:9" ht="15" thickBot="1" x14ac:dyDescent="0.25"/>
    <row r="136" spans="1:9" ht="15" x14ac:dyDescent="0.25">
      <c r="A136" s="32" t="s">
        <v>70</v>
      </c>
      <c r="B136" s="15"/>
      <c r="C136" s="15"/>
      <c r="D136" s="52"/>
      <c r="E136" s="53"/>
    </row>
    <row r="137" spans="1:9" x14ac:dyDescent="0.2">
      <c r="A137" s="18" t="s">
        <v>11</v>
      </c>
      <c r="B137" s="19"/>
      <c r="C137" s="19"/>
      <c r="D137" s="71">
        <f>D133</f>
        <v>15427.72883421462</v>
      </c>
      <c r="E137" s="36"/>
    </row>
    <row r="138" spans="1:9" ht="15" thickBot="1" x14ac:dyDescent="0.25">
      <c r="A138" s="37" t="s">
        <v>77</v>
      </c>
      <c r="B138" s="21"/>
      <c r="C138" s="21"/>
      <c r="D138" s="38"/>
      <c r="E138" s="39">
        <f>D137</f>
        <v>15427.72883421462</v>
      </c>
    </row>
    <row r="140" spans="1:9" x14ac:dyDescent="0.2">
      <c r="A140" s="118" t="s">
        <v>93</v>
      </c>
      <c r="B140" s="119"/>
      <c r="C140" s="119"/>
      <c r="D140" s="119"/>
      <c r="E140" s="119"/>
      <c r="F140" s="119"/>
      <c r="G140" s="119"/>
      <c r="H140" s="119"/>
      <c r="I140" s="120"/>
    </row>
    <row r="142" spans="1:9" ht="15" x14ac:dyDescent="0.25">
      <c r="A142" s="1" t="s">
        <v>95</v>
      </c>
      <c r="D142" s="9">
        <f>-PV(8%,6,35000,500000)</f>
        <v>476885.60168019409</v>
      </c>
      <c r="E142" s="42" t="s">
        <v>55</v>
      </c>
      <c r="I142" s="1" t="s">
        <v>96</v>
      </c>
    </row>
    <row r="143" spans="1:9" x14ac:dyDescent="0.2">
      <c r="A143" s="1" t="s">
        <v>97</v>
      </c>
      <c r="D143" s="1">
        <f>D142*(1+8%)^(6/12)</f>
        <v>495594.05490489013</v>
      </c>
      <c r="I143" s="1" t="s">
        <v>98</v>
      </c>
    </row>
    <row r="145" spans="1:9" x14ac:dyDescent="0.2">
      <c r="A145" s="118" t="s">
        <v>99</v>
      </c>
      <c r="B145" s="119"/>
      <c r="C145" s="119"/>
      <c r="D145" s="119"/>
      <c r="E145" s="119"/>
      <c r="F145" s="119"/>
      <c r="G145" s="119"/>
      <c r="H145" s="119"/>
      <c r="I145" s="120"/>
    </row>
    <row r="147" spans="1:9" x14ac:dyDescent="0.2">
      <c r="A147" s="1" t="s">
        <v>100</v>
      </c>
      <c r="D147" s="1">
        <f>100000*5*0.25*1.3</f>
        <v>162500</v>
      </c>
      <c r="I147" s="1" t="s">
        <v>101</v>
      </c>
    </row>
    <row r="148" spans="1:9" x14ac:dyDescent="0.2">
      <c r="A148" s="1" t="s">
        <v>17</v>
      </c>
      <c r="D148" s="9">
        <f>D143*25%</f>
        <v>123898.51372622253</v>
      </c>
      <c r="I148" s="1" t="s">
        <v>102</v>
      </c>
    </row>
    <row r="149" spans="1:9" x14ac:dyDescent="0.2">
      <c r="A149" s="1" t="s">
        <v>18</v>
      </c>
      <c r="D149" s="1">
        <f>D147-D148</f>
        <v>38601.486273777467</v>
      </c>
    </row>
    <row r="151" spans="1:9" x14ac:dyDescent="0.2">
      <c r="A151" s="1" t="s">
        <v>19</v>
      </c>
      <c r="D151" s="1">
        <f>D134*0.25</f>
        <v>135287.56100544191</v>
      </c>
      <c r="I151" s="1" t="s">
        <v>103</v>
      </c>
    </row>
    <row r="152" spans="1:9" ht="15" thickBot="1" x14ac:dyDescent="0.25">
      <c r="A152" s="1" t="s">
        <v>17</v>
      </c>
      <c r="D152" s="28">
        <f>D148</f>
        <v>123898.51372622253</v>
      </c>
      <c r="I152" s="1" t="s">
        <v>16</v>
      </c>
    </row>
    <row r="153" spans="1:9" ht="15" thickTop="1" x14ac:dyDescent="0.2">
      <c r="A153" s="1" t="s">
        <v>104</v>
      </c>
      <c r="D153" s="1">
        <f>D151-D152</f>
        <v>11389.047279219376</v>
      </c>
      <c r="I153" s="1" t="s">
        <v>105</v>
      </c>
    </row>
    <row r="155" spans="1:9" x14ac:dyDescent="0.2">
      <c r="A155" s="1" t="s">
        <v>21</v>
      </c>
      <c r="D155" s="1">
        <f>H91*25%</f>
        <v>10362.513471960699</v>
      </c>
      <c r="I155" s="1" t="s">
        <v>106</v>
      </c>
    </row>
    <row r="156" spans="1:9" ht="15" thickBot="1" x14ac:dyDescent="0.25">
      <c r="A156" s="1" t="s">
        <v>18</v>
      </c>
      <c r="D156" s="28">
        <f>D149</f>
        <v>38601.486273777467</v>
      </c>
    </row>
    <row r="157" spans="1:9" ht="15" thickTop="1" x14ac:dyDescent="0.2">
      <c r="A157" s="1" t="s">
        <v>22</v>
      </c>
      <c r="D157" s="1">
        <f>D156-D155</f>
        <v>28238.972801816766</v>
      </c>
    </row>
    <row r="158" spans="1:9" ht="15" thickBot="1" x14ac:dyDescent="0.25"/>
    <row r="159" spans="1:9" ht="15" x14ac:dyDescent="0.25">
      <c r="A159" s="32" t="s">
        <v>70</v>
      </c>
      <c r="B159" s="15"/>
      <c r="C159" s="15"/>
      <c r="D159" s="52"/>
      <c r="E159" s="53"/>
      <c r="F159" s="25"/>
    </row>
    <row r="160" spans="1:9" x14ac:dyDescent="0.2">
      <c r="A160" s="56" t="s">
        <v>107</v>
      </c>
      <c r="B160" s="19"/>
      <c r="C160" s="19"/>
      <c r="D160" s="25"/>
      <c r="E160" s="36"/>
      <c r="F160" s="25"/>
    </row>
    <row r="161" spans="1:12" x14ac:dyDescent="0.2">
      <c r="A161" s="18" t="s">
        <v>20</v>
      </c>
      <c r="B161" s="19"/>
      <c r="C161" s="19"/>
      <c r="D161" s="25">
        <f>D151</f>
        <v>135287.56100544191</v>
      </c>
      <c r="E161" s="36"/>
      <c r="F161" s="19"/>
    </row>
    <row r="162" spans="1:12" x14ac:dyDescent="0.2">
      <c r="A162" s="35" t="s">
        <v>39</v>
      </c>
      <c r="B162" s="19"/>
      <c r="C162" s="19"/>
      <c r="D162" s="25"/>
      <c r="E162" s="36">
        <f>D152</f>
        <v>123898.51372622253</v>
      </c>
      <c r="F162" s="19"/>
    </row>
    <row r="163" spans="1:12" x14ac:dyDescent="0.2">
      <c r="A163" s="35" t="s">
        <v>109</v>
      </c>
      <c r="B163" s="19"/>
      <c r="C163" s="19"/>
      <c r="D163" s="25"/>
      <c r="E163" s="95">
        <f>D153</f>
        <v>11389.047279219376</v>
      </c>
      <c r="F163" s="19"/>
    </row>
    <row r="164" spans="1:12" x14ac:dyDescent="0.2">
      <c r="A164" s="57"/>
      <c r="B164" s="19"/>
      <c r="C164" s="19"/>
      <c r="D164" s="25"/>
      <c r="E164" s="36"/>
      <c r="F164" s="25"/>
    </row>
    <row r="165" spans="1:12" x14ac:dyDescent="0.2">
      <c r="A165" s="56" t="s">
        <v>108</v>
      </c>
      <c r="B165" s="19"/>
      <c r="C165" s="19"/>
      <c r="D165" s="25"/>
      <c r="E165" s="36"/>
      <c r="F165" s="25"/>
    </row>
    <row r="166" spans="1:12" x14ac:dyDescent="0.2">
      <c r="A166" s="18" t="s">
        <v>110</v>
      </c>
      <c r="B166" s="19"/>
      <c r="C166" s="19"/>
      <c r="D166" s="25">
        <f>D155</f>
        <v>10362.513471960699</v>
      </c>
      <c r="E166" s="36"/>
      <c r="F166" s="97"/>
      <c r="G166" s="97"/>
      <c r="H166" s="97"/>
      <c r="I166" s="97"/>
      <c r="J166" s="109"/>
      <c r="K166" s="109"/>
      <c r="L166" s="109"/>
    </row>
    <row r="167" spans="1:12" x14ac:dyDescent="0.2">
      <c r="A167" s="58" t="s">
        <v>23</v>
      </c>
      <c r="B167" s="19"/>
      <c r="C167" s="19"/>
      <c r="D167" s="25">
        <f>D157</f>
        <v>28238.972801816766</v>
      </c>
      <c r="E167" s="36"/>
    </row>
    <row r="168" spans="1:12" ht="15" thickBot="1" x14ac:dyDescent="0.25">
      <c r="A168" s="37" t="s">
        <v>39</v>
      </c>
      <c r="B168" s="21"/>
      <c r="C168" s="21"/>
      <c r="D168" s="38"/>
      <c r="E168" s="39">
        <f>D156</f>
        <v>38601.486273777467</v>
      </c>
    </row>
    <row r="169" spans="1:12" ht="15" thickBot="1" x14ac:dyDescent="0.25">
      <c r="A169" s="54"/>
      <c r="B169" s="19"/>
      <c r="C169" s="19"/>
      <c r="D169" s="19"/>
      <c r="E169" s="4"/>
    </row>
    <row r="170" spans="1:12" ht="15" thickBot="1" x14ac:dyDescent="0.25">
      <c r="A170" s="115" t="s">
        <v>258</v>
      </c>
      <c r="B170" s="116"/>
      <c r="C170" s="116"/>
      <c r="D170" s="116"/>
      <c r="E170" s="116"/>
      <c r="F170" s="116"/>
      <c r="G170" s="116"/>
      <c r="H170" s="116"/>
      <c r="I170" s="117"/>
    </row>
    <row r="171" spans="1:12" ht="15" thickBot="1" x14ac:dyDescent="0.25">
      <c r="A171" s="54"/>
      <c r="B171" s="19"/>
      <c r="C171" s="19"/>
      <c r="D171" s="19"/>
      <c r="E171" s="4"/>
    </row>
    <row r="172" spans="1:12" ht="15" x14ac:dyDescent="0.25">
      <c r="A172" s="32" t="s">
        <v>70</v>
      </c>
      <c r="B172" s="15"/>
      <c r="C172" s="15"/>
      <c r="D172" s="15"/>
      <c r="E172" s="53"/>
    </row>
    <row r="173" spans="1:12" x14ac:dyDescent="0.2">
      <c r="A173" s="18" t="s">
        <v>0</v>
      </c>
      <c r="B173" s="19"/>
      <c r="C173" s="19"/>
      <c r="D173" s="25">
        <f>20000*6</f>
        <v>120000</v>
      </c>
      <c r="E173" s="36"/>
      <c r="I173" s="1" t="s">
        <v>114</v>
      </c>
    </row>
    <row r="174" spans="1:12" x14ac:dyDescent="0.2">
      <c r="A174" s="35" t="s">
        <v>115</v>
      </c>
      <c r="B174" s="19"/>
      <c r="C174" s="19"/>
      <c r="D174" s="25"/>
      <c r="E174" s="36">
        <f>D45</f>
        <v>80000</v>
      </c>
    </row>
    <row r="175" spans="1:12" x14ac:dyDescent="0.2">
      <c r="A175" s="35" t="s">
        <v>116</v>
      </c>
      <c r="B175" s="19"/>
      <c r="C175" s="19"/>
      <c r="D175" s="25"/>
      <c r="E175" s="36">
        <f>(D173-E174)*90%</f>
        <v>36000</v>
      </c>
      <c r="I175" s="1" t="s">
        <v>117</v>
      </c>
    </row>
    <row r="176" spans="1:12" ht="15" thickBot="1" x14ac:dyDescent="0.25">
      <c r="A176" s="37" t="s">
        <v>38</v>
      </c>
      <c r="B176" s="21"/>
      <c r="C176" s="21"/>
      <c r="D176" s="38"/>
      <c r="E176" s="39">
        <f>(D173-E174)*10%</f>
        <v>4000</v>
      </c>
      <c r="I176" s="1" t="s">
        <v>118</v>
      </c>
    </row>
    <row r="177" spans="1:9" x14ac:dyDescent="0.2">
      <c r="A177" s="54"/>
      <c r="B177" s="19"/>
      <c r="C177" s="19"/>
      <c r="D177" s="19"/>
      <c r="E177" s="4"/>
    </row>
    <row r="178" spans="1:9" ht="30.75" customHeight="1" x14ac:dyDescent="0.2">
      <c r="A178" s="113" t="s">
        <v>262</v>
      </c>
      <c r="B178" s="114"/>
      <c r="C178" s="114"/>
      <c r="D178" s="114"/>
      <c r="E178" s="114"/>
      <c r="F178" s="114"/>
      <c r="G178" s="114"/>
      <c r="H178" s="114"/>
      <c r="I178" s="114"/>
    </row>
    <row r="179" spans="1:9" ht="15" thickBot="1" x14ac:dyDescent="0.25">
      <c r="A179" s="54"/>
      <c r="B179" s="19"/>
      <c r="C179" s="19"/>
      <c r="D179" s="19"/>
      <c r="E179" s="4"/>
    </row>
    <row r="180" spans="1:9" ht="15" thickBot="1" x14ac:dyDescent="0.25">
      <c r="A180" s="115" t="s">
        <v>259</v>
      </c>
      <c r="B180" s="116"/>
      <c r="C180" s="116"/>
      <c r="D180" s="116"/>
      <c r="E180" s="116"/>
      <c r="F180" s="116"/>
      <c r="G180" s="116"/>
      <c r="H180" s="116"/>
      <c r="I180" s="117"/>
    </row>
    <row r="181" spans="1:9" x14ac:dyDescent="0.2">
      <c r="A181" s="25"/>
      <c r="B181" s="19"/>
      <c r="C181" s="19"/>
      <c r="D181" s="19"/>
      <c r="E181" s="4"/>
    </row>
    <row r="182" spans="1:9" ht="15" x14ac:dyDescent="0.25">
      <c r="A182" s="100" t="s">
        <v>41</v>
      </c>
      <c r="B182" s="97"/>
      <c r="C182" s="97"/>
      <c r="D182" s="97"/>
      <c r="E182" s="99"/>
      <c r="F182" s="97"/>
      <c r="G182" s="97"/>
      <c r="H182" s="97"/>
      <c r="I182" s="97"/>
    </row>
    <row r="183" spans="1:9" x14ac:dyDescent="0.2">
      <c r="A183" s="101" t="s">
        <v>253</v>
      </c>
      <c r="B183" s="97"/>
      <c r="C183" s="97"/>
      <c r="D183" s="104">
        <f>(90000+100000*5*25%/8)/(100000+(15000*(10-7)/10)+100000*5/8)</f>
        <v>0.63248502994011979</v>
      </c>
      <c r="E183" s="99"/>
      <c r="F183" s="103"/>
      <c r="G183" s="97"/>
      <c r="H183" s="97"/>
      <c r="I183" s="105" t="s">
        <v>249</v>
      </c>
    </row>
    <row r="184" spans="1:9" ht="15" x14ac:dyDescent="0.25">
      <c r="A184" s="7"/>
      <c r="C184" s="74" t="s">
        <v>43</v>
      </c>
      <c r="D184" s="72"/>
      <c r="F184" s="8"/>
    </row>
    <row r="185" spans="1:9" x14ac:dyDescent="0.2">
      <c r="A185" s="7"/>
      <c r="C185" s="40" t="s">
        <v>42</v>
      </c>
      <c r="D185" s="72"/>
      <c r="F185" s="8"/>
    </row>
    <row r="186" spans="1:9" x14ac:dyDescent="0.2">
      <c r="A186" s="7"/>
      <c r="D186" s="72"/>
      <c r="F186" s="8"/>
    </row>
    <row r="187" spans="1:9" ht="15" x14ac:dyDescent="0.25">
      <c r="A187" s="73" t="s">
        <v>189</v>
      </c>
      <c r="D187" s="72"/>
      <c r="F187" s="8"/>
    </row>
    <row r="188" spans="1:9" x14ac:dyDescent="0.2">
      <c r="A188" s="25" t="s">
        <v>119</v>
      </c>
      <c r="B188" s="19"/>
      <c r="C188" s="19"/>
      <c r="D188" s="19"/>
      <c r="E188" s="4"/>
    </row>
    <row r="189" spans="1:9" x14ac:dyDescent="0.2">
      <c r="A189" s="25" t="s">
        <v>120</v>
      </c>
      <c r="B189" s="19"/>
      <c r="C189" s="19"/>
      <c r="D189" s="19"/>
      <c r="E189" s="4"/>
    </row>
    <row r="190" spans="1:9" x14ac:dyDescent="0.2">
      <c r="A190" s="25"/>
      <c r="B190" s="19"/>
      <c r="C190" s="19"/>
      <c r="D190" s="19"/>
      <c r="E190" s="4"/>
    </row>
    <row r="191" spans="1:9" x14ac:dyDescent="0.2">
      <c r="A191" s="25" t="s">
        <v>191</v>
      </c>
      <c r="B191" s="19"/>
      <c r="C191" s="19"/>
      <c r="D191" s="19">
        <f>100000*5*75%</f>
        <v>375000</v>
      </c>
      <c r="E191" s="4"/>
      <c r="I191" s="1" t="s">
        <v>190</v>
      </c>
    </row>
    <row r="192" spans="1:9" x14ac:dyDescent="0.2">
      <c r="A192" s="25" t="s">
        <v>182</v>
      </c>
      <c r="B192" s="19"/>
      <c r="C192" s="19"/>
      <c r="D192" s="19">
        <f>D191/10</f>
        <v>37500</v>
      </c>
      <c r="E192" s="4"/>
      <c r="I192" s="1" t="s">
        <v>241</v>
      </c>
    </row>
    <row r="193" spans="1:9" x14ac:dyDescent="0.2">
      <c r="A193" s="25" t="s">
        <v>181</v>
      </c>
      <c r="B193" s="19"/>
      <c r="C193" s="19"/>
      <c r="D193" s="9">
        <f>D191/8</f>
        <v>46875</v>
      </c>
      <c r="E193" s="4"/>
      <c r="I193" s="1" t="s">
        <v>242</v>
      </c>
    </row>
    <row r="194" spans="1:9" x14ac:dyDescent="0.2">
      <c r="A194" s="25" t="s">
        <v>121</v>
      </c>
      <c r="B194" s="19"/>
      <c r="C194" s="19"/>
      <c r="D194" s="19">
        <f>D193-D192</f>
        <v>9375</v>
      </c>
      <c r="E194" s="4"/>
    </row>
    <row r="195" spans="1:9" ht="15" thickBot="1" x14ac:dyDescent="0.25">
      <c r="A195" s="54"/>
      <c r="B195" s="19"/>
      <c r="C195" s="19"/>
      <c r="D195" s="19"/>
      <c r="E195" s="4"/>
    </row>
    <row r="196" spans="1:9" ht="15" x14ac:dyDescent="0.25">
      <c r="A196" s="32" t="s">
        <v>70</v>
      </c>
      <c r="B196" s="15"/>
      <c r="C196" s="15"/>
      <c r="D196" s="15"/>
      <c r="E196" s="53"/>
    </row>
    <row r="197" spans="1:9" x14ac:dyDescent="0.2">
      <c r="A197" s="18" t="s">
        <v>11</v>
      </c>
      <c r="B197" s="19"/>
      <c r="C197" s="19"/>
      <c r="D197" s="71">
        <f>D194*10</f>
        <v>93750</v>
      </c>
      <c r="E197" s="36"/>
      <c r="I197" s="1" t="s">
        <v>202</v>
      </c>
    </row>
    <row r="198" spans="1:9" ht="15" thickBot="1" x14ac:dyDescent="0.25">
      <c r="A198" s="37" t="s">
        <v>38</v>
      </c>
      <c r="B198" s="21"/>
      <c r="C198" s="21"/>
      <c r="D198" s="38"/>
      <c r="E198" s="39">
        <f>D197</f>
        <v>93750</v>
      </c>
    </row>
    <row r="199" spans="1:9" x14ac:dyDescent="0.2">
      <c r="A199" s="54"/>
      <c r="B199" s="19"/>
      <c r="C199" s="19"/>
      <c r="D199" s="25"/>
      <c r="E199" s="25"/>
    </row>
    <row r="200" spans="1:9" ht="15" x14ac:dyDescent="0.25">
      <c r="A200" s="66" t="s">
        <v>192</v>
      </c>
      <c r="B200" s="19"/>
      <c r="C200" s="19"/>
      <c r="D200" s="19"/>
      <c r="E200" s="4"/>
    </row>
    <row r="201" spans="1:9" x14ac:dyDescent="0.2">
      <c r="A201" s="25" t="s">
        <v>10</v>
      </c>
      <c r="B201" s="19"/>
      <c r="C201" s="19"/>
      <c r="D201" s="19">
        <f>D132</f>
        <v>525722.51518755301</v>
      </c>
      <c r="E201" s="4"/>
    </row>
    <row r="202" spans="1:9" x14ac:dyDescent="0.2">
      <c r="A202" s="25" t="s">
        <v>91</v>
      </c>
      <c r="B202" s="19"/>
      <c r="C202" s="19"/>
      <c r="D202" s="9">
        <f>D133</f>
        <v>15427.72883421462</v>
      </c>
      <c r="E202" s="4"/>
    </row>
    <row r="203" spans="1:9" x14ac:dyDescent="0.2">
      <c r="A203" s="65" t="s">
        <v>140</v>
      </c>
      <c r="B203" s="19"/>
      <c r="C203" s="19"/>
      <c r="D203" s="19">
        <f>D201+D202</f>
        <v>541150.24402176763</v>
      </c>
      <c r="E203" s="4"/>
    </row>
    <row r="204" spans="1:9" x14ac:dyDescent="0.2">
      <c r="A204" s="65" t="s">
        <v>195</v>
      </c>
      <c r="B204" s="19"/>
      <c r="C204" s="19"/>
      <c r="D204" s="19">
        <f>D203*-25%</f>
        <v>-135287.56100544191</v>
      </c>
      <c r="E204" s="4"/>
    </row>
    <row r="205" spans="1:9" x14ac:dyDescent="0.2">
      <c r="A205" s="25" t="s">
        <v>91</v>
      </c>
      <c r="B205" s="19"/>
      <c r="C205" s="19"/>
      <c r="D205" s="19">
        <f>D207-D203-D206-D204</f>
        <v>11910.350492158061</v>
      </c>
      <c r="E205" s="4"/>
      <c r="I205" s="1" t="s">
        <v>193</v>
      </c>
    </row>
    <row r="206" spans="1:9" ht="15" thickBot="1" x14ac:dyDescent="0.25">
      <c r="A206" s="25" t="s">
        <v>111</v>
      </c>
      <c r="B206" s="19"/>
      <c r="C206" s="19"/>
      <c r="D206" s="28">
        <f>-35000*75%</f>
        <v>-26250</v>
      </c>
      <c r="E206" s="4"/>
      <c r="I206" s="1" t="s">
        <v>145</v>
      </c>
    </row>
    <row r="207" spans="1:9" ht="15" thickTop="1" x14ac:dyDescent="0.2">
      <c r="A207" s="25" t="s">
        <v>112</v>
      </c>
      <c r="B207" s="19"/>
      <c r="C207" s="19"/>
      <c r="D207" s="1">
        <f>-PV(C130,5,35000,500000)*75%</f>
        <v>391523.03350848379</v>
      </c>
      <c r="E207" s="4"/>
      <c r="I207" s="1" t="s">
        <v>194</v>
      </c>
    </row>
    <row r="208" spans="1:9" x14ac:dyDescent="0.2">
      <c r="A208" s="25"/>
      <c r="B208" s="19"/>
      <c r="C208" s="19"/>
      <c r="E208" s="4"/>
    </row>
    <row r="209" spans="1:9" ht="15" x14ac:dyDescent="0.25">
      <c r="A209" s="66" t="s">
        <v>196</v>
      </c>
      <c r="B209" s="19"/>
      <c r="C209" s="19"/>
      <c r="E209" s="4"/>
    </row>
    <row r="210" spans="1:9" x14ac:dyDescent="0.2">
      <c r="A210" s="25" t="s">
        <v>10</v>
      </c>
      <c r="B210" s="19"/>
      <c r="C210" s="19"/>
      <c r="D210" s="1">
        <f>E99</f>
        <v>41450.053887842798</v>
      </c>
      <c r="E210" s="4"/>
    </row>
    <row r="211" spans="1:9" x14ac:dyDescent="0.2">
      <c r="A211" s="25" t="s">
        <v>195</v>
      </c>
      <c r="B211" s="19"/>
      <c r="C211" s="19"/>
      <c r="D211" s="1">
        <f>-D155</f>
        <v>-10362.513471960699</v>
      </c>
      <c r="E211" s="4"/>
    </row>
    <row r="212" spans="1:9" ht="15" thickBot="1" x14ac:dyDescent="0.25">
      <c r="A212" s="25" t="s">
        <v>122</v>
      </c>
      <c r="B212" s="19"/>
      <c r="C212" s="19"/>
      <c r="D212" s="28">
        <f>E198</f>
        <v>93750</v>
      </c>
      <c r="E212" s="4"/>
    </row>
    <row r="213" spans="1:9" ht="15" thickTop="1" x14ac:dyDescent="0.2">
      <c r="A213" s="25" t="s">
        <v>112</v>
      </c>
      <c r="B213" s="19"/>
      <c r="C213" s="19"/>
      <c r="D213" s="1">
        <f>SUM(D210:D212)</f>
        <v>124837.5404158821</v>
      </c>
      <c r="E213" s="4"/>
    </row>
    <row r="214" spans="1:9" ht="15" thickBot="1" x14ac:dyDescent="0.25">
      <c r="A214" s="54"/>
      <c r="B214" s="19"/>
      <c r="C214" s="19"/>
      <c r="D214" s="19"/>
      <c r="E214" s="4"/>
    </row>
    <row r="215" spans="1:9" ht="15" x14ac:dyDescent="0.25">
      <c r="A215" s="67" t="s">
        <v>70</v>
      </c>
      <c r="B215" s="15"/>
      <c r="C215" s="15"/>
      <c r="D215" s="15"/>
      <c r="E215" s="53"/>
    </row>
    <row r="216" spans="1:9" x14ac:dyDescent="0.2">
      <c r="A216" s="58" t="s">
        <v>11</v>
      </c>
      <c r="B216" s="19"/>
      <c r="C216" s="19"/>
      <c r="D216" s="96">
        <f>D205</f>
        <v>11910.350492158061</v>
      </c>
      <c r="E216" s="36"/>
    </row>
    <row r="217" spans="1:9" x14ac:dyDescent="0.2">
      <c r="A217" s="58" t="s">
        <v>20</v>
      </c>
      <c r="B217" s="19"/>
      <c r="C217" s="19"/>
      <c r="D217" s="96">
        <f>E218-D216</f>
        <v>14339.649507841939</v>
      </c>
      <c r="E217" s="36"/>
      <c r="I217" s="1" t="s">
        <v>57</v>
      </c>
    </row>
    <row r="218" spans="1:9" ht="15" thickBot="1" x14ac:dyDescent="0.25">
      <c r="A218" s="37" t="s">
        <v>39</v>
      </c>
      <c r="B218" s="21"/>
      <c r="C218" s="21"/>
      <c r="D218" s="21"/>
      <c r="E218" s="23">
        <f>-D206</f>
        <v>26250</v>
      </c>
    </row>
    <row r="219" spans="1:9" ht="15.75" thickBot="1" x14ac:dyDescent="0.3">
      <c r="A219" s="66"/>
      <c r="B219" s="19"/>
      <c r="C219" s="19"/>
      <c r="D219" s="19"/>
      <c r="E219" s="19"/>
    </row>
    <row r="220" spans="1:9" ht="15" thickBot="1" x14ac:dyDescent="0.25">
      <c r="A220" s="115" t="s">
        <v>260</v>
      </c>
      <c r="B220" s="116"/>
      <c r="C220" s="116"/>
      <c r="D220" s="116"/>
      <c r="E220" s="116"/>
      <c r="F220" s="116"/>
      <c r="G220" s="116"/>
      <c r="H220" s="116"/>
      <c r="I220" s="117"/>
    </row>
    <row r="221" spans="1:9" x14ac:dyDescent="0.2">
      <c r="A221" s="25" t="s">
        <v>151</v>
      </c>
      <c r="B221" s="19"/>
      <c r="C221" s="19"/>
      <c r="D221" s="19"/>
      <c r="E221" s="4"/>
    </row>
    <row r="222" spans="1:9" x14ac:dyDescent="0.2">
      <c r="A222" s="25" t="s">
        <v>274</v>
      </c>
      <c r="B222" s="19"/>
      <c r="C222" s="19"/>
      <c r="D222" s="19"/>
      <c r="E222" s="4"/>
    </row>
    <row r="223" spans="1:9" ht="15" x14ac:dyDescent="0.25">
      <c r="A223" s="25" t="s">
        <v>152</v>
      </c>
      <c r="B223" s="19"/>
      <c r="C223" s="19"/>
      <c r="D223" s="19"/>
      <c r="E223" s="4"/>
    </row>
    <row r="224" spans="1:9" x14ac:dyDescent="0.2">
      <c r="A224" s="25" t="s">
        <v>153</v>
      </c>
      <c r="B224" s="19"/>
      <c r="C224" s="19"/>
      <c r="D224" s="19"/>
      <c r="E224" s="4"/>
    </row>
    <row r="225" spans="1:9" x14ac:dyDescent="0.2">
      <c r="A225" s="25" t="s">
        <v>164</v>
      </c>
      <c r="B225" s="19"/>
      <c r="C225" s="19"/>
      <c r="D225" s="19"/>
      <c r="E225" s="4"/>
    </row>
    <row r="226" spans="1:9" x14ac:dyDescent="0.2">
      <c r="A226" s="25"/>
      <c r="B226" s="19"/>
      <c r="C226" s="19"/>
      <c r="D226" s="19"/>
      <c r="E226" s="4"/>
    </row>
    <row r="227" spans="1:9" x14ac:dyDescent="0.2">
      <c r="A227" s="64" t="s">
        <v>157</v>
      </c>
      <c r="B227" s="19"/>
      <c r="C227" s="19"/>
      <c r="D227" s="19"/>
      <c r="E227" s="4"/>
    </row>
    <row r="228" spans="1:9" x14ac:dyDescent="0.2">
      <c r="A228" s="25" t="s">
        <v>159</v>
      </c>
      <c r="B228" s="19"/>
      <c r="C228" s="19"/>
      <c r="D228" s="19">
        <f>D148</f>
        <v>123898.51372622253</v>
      </c>
      <c r="E228" s="4"/>
    </row>
    <row r="229" spans="1:9" x14ac:dyDescent="0.2">
      <c r="A229" s="25" t="s">
        <v>158</v>
      </c>
      <c r="B229" s="19"/>
      <c r="C229" s="19"/>
      <c r="D229" s="9">
        <f>D230-D228</f>
        <v>4860.5987274298968</v>
      </c>
      <c r="E229" s="4"/>
      <c r="I229" s="1" t="s">
        <v>162</v>
      </c>
    </row>
    <row r="230" spans="1:9" x14ac:dyDescent="0.2">
      <c r="A230" s="25" t="s">
        <v>160</v>
      </c>
      <c r="B230" s="19"/>
      <c r="C230" s="19"/>
      <c r="D230" s="19">
        <f>D228*1.08^(6/12)</f>
        <v>128759.11245365243</v>
      </c>
      <c r="E230" s="4"/>
      <c r="I230" s="1" t="s">
        <v>161</v>
      </c>
    </row>
    <row r="231" spans="1:9" ht="15" thickBot="1" x14ac:dyDescent="0.25">
      <c r="A231" s="25"/>
      <c r="B231" s="19"/>
      <c r="C231" s="19"/>
      <c r="D231" s="19"/>
      <c r="E231" s="4"/>
    </row>
    <row r="232" spans="1:9" x14ac:dyDescent="0.2">
      <c r="A232" s="68" t="s">
        <v>165</v>
      </c>
      <c r="B232" s="15"/>
      <c r="C232" s="15"/>
      <c r="D232" s="15"/>
      <c r="E232" s="16"/>
      <c r="F232" s="15"/>
      <c r="G232" s="15"/>
      <c r="H232" s="15"/>
      <c r="I232" s="17"/>
    </row>
    <row r="233" spans="1:9" ht="15" thickBot="1" x14ac:dyDescent="0.25">
      <c r="A233" s="69" t="s">
        <v>163</v>
      </c>
      <c r="B233" s="21"/>
      <c r="C233" s="21"/>
      <c r="D233" s="21"/>
      <c r="E233" s="22"/>
      <c r="F233" s="21"/>
      <c r="G233" s="21"/>
      <c r="H233" s="21"/>
      <c r="I233" s="23"/>
    </row>
    <row r="234" spans="1:9" x14ac:dyDescent="0.2">
      <c r="A234" s="54"/>
      <c r="B234" s="19"/>
      <c r="C234" s="19"/>
      <c r="D234" s="19"/>
      <c r="E234" s="4"/>
    </row>
    <row r="235" spans="1:9" x14ac:dyDescent="0.2">
      <c r="A235" s="118" t="s">
        <v>149</v>
      </c>
      <c r="B235" s="119"/>
      <c r="C235" s="119"/>
      <c r="D235" s="119"/>
      <c r="E235" s="119"/>
      <c r="F235" s="119"/>
      <c r="G235" s="119"/>
      <c r="H235" s="119"/>
      <c r="I235" s="120"/>
    </row>
    <row r="236" spans="1:9" x14ac:dyDescent="0.2">
      <c r="A236" s="3" t="s">
        <v>147</v>
      </c>
    </row>
    <row r="237" spans="1:9" x14ac:dyDescent="0.2">
      <c r="A237" s="25" t="s">
        <v>148</v>
      </c>
      <c r="B237" s="19"/>
      <c r="C237" s="19"/>
      <c r="D237" s="19">
        <v>300000</v>
      </c>
      <c r="E237" s="4"/>
    </row>
    <row r="238" spans="1:9" x14ac:dyDescent="0.2">
      <c r="A238" s="64" t="s">
        <v>150</v>
      </c>
      <c r="B238" s="19"/>
      <c r="C238" s="19"/>
      <c r="D238" s="19"/>
      <c r="E238" s="4"/>
    </row>
    <row r="239" spans="1:9" x14ac:dyDescent="0.2">
      <c r="A239" s="25" t="s">
        <v>148</v>
      </c>
      <c r="B239" s="19"/>
      <c r="C239" s="19"/>
      <c r="D239" s="19">
        <v>550000</v>
      </c>
      <c r="E239" s="4"/>
    </row>
    <row r="240" spans="1:9" x14ac:dyDescent="0.2">
      <c r="A240" s="25" t="s">
        <v>154</v>
      </c>
      <c r="B240" s="19"/>
      <c r="C240" s="19"/>
      <c r="D240" s="19">
        <f>-D115</f>
        <v>-18181.81818181818</v>
      </c>
      <c r="E240" s="4"/>
    </row>
    <row r="241" spans="1:9" x14ac:dyDescent="0.2">
      <c r="A241" s="25" t="s">
        <v>24</v>
      </c>
      <c r="B241" s="19"/>
      <c r="C241" s="19"/>
      <c r="D241" s="19">
        <f>-D137-D197-D216</f>
        <v>-121088.07932637268</v>
      </c>
      <c r="E241" s="4"/>
      <c r="I241" s="1" t="s">
        <v>218</v>
      </c>
    </row>
    <row r="242" spans="1:9" x14ac:dyDescent="0.2">
      <c r="A242" s="25" t="s">
        <v>104</v>
      </c>
      <c r="B242" s="19"/>
      <c r="C242" s="19"/>
      <c r="D242" s="9">
        <f>E163</f>
        <v>11389.047279219376</v>
      </c>
      <c r="E242" s="4"/>
    </row>
    <row r="243" spans="1:9" ht="15" thickBot="1" x14ac:dyDescent="0.25">
      <c r="A243" s="1" t="s">
        <v>210</v>
      </c>
      <c r="D243" s="70">
        <f>SUM(D239:D242)</f>
        <v>422119.14977102843</v>
      </c>
      <c r="E243" s="4"/>
    </row>
    <row r="244" spans="1:9" ht="15" thickTop="1" x14ac:dyDescent="0.2">
      <c r="A244" s="54"/>
      <c r="B244" s="19"/>
      <c r="C244" s="19"/>
      <c r="D244" s="19">
        <f>SUM(D237:D242)</f>
        <v>722119.14977102843</v>
      </c>
      <c r="E244" s="4"/>
    </row>
    <row r="245" spans="1:9" x14ac:dyDescent="0.2">
      <c r="A245" s="54"/>
      <c r="B245" s="19"/>
      <c r="C245" s="19"/>
      <c r="D245" s="19"/>
      <c r="E245" s="4"/>
    </row>
    <row r="246" spans="1:9" x14ac:dyDescent="0.2">
      <c r="A246" s="118" t="s">
        <v>155</v>
      </c>
      <c r="B246" s="119"/>
      <c r="C246" s="119"/>
      <c r="D246" s="119"/>
      <c r="E246" s="119"/>
      <c r="F246" s="119"/>
      <c r="G246" s="119"/>
      <c r="H246" s="119"/>
      <c r="I246" s="120"/>
    </row>
    <row r="247" spans="1:9" x14ac:dyDescent="0.2">
      <c r="A247" s="64" t="s">
        <v>167</v>
      </c>
      <c r="B247" s="19"/>
      <c r="C247" s="19"/>
      <c r="D247" s="19"/>
      <c r="E247" s="4"/>
    </row>
    <row r="248" spans="1:9" x14ac:dyDescent="0.2">
      <c r="A248" s="25" t="s">
        <v>156</v>
      </c>
      <c r="B248" s="19"/>
      <c r="C248" s="19"/>
      <c r="D248" s="19">
        <f>D237</f>
        <v>300000</v>
      </c>
      <c r="E248" s="4"/>
    </row>
    <row r="249" spans="1:9" x14ac:dyDescent="0.2">
      <c r="A249" s="25" t="s">
        <v>197</v>
      </c>
      <c r="B249" s="19"/>
      <c r="C249" s="19"/>
      <c r="D249" s="19">
        <f>(D239-400000*10%)*90%</f>
        <v>459000</v>
      </c>
      <c r="E249" s="4"/>
      <c r="I249" s="1" t="s">
        <v>184</v>
      </c>
    </row>
    <row r="250" spans="1:9" x14ac:dyDescent="0.2">
      <c r="A250" s="25" t="s">
        <v>169</v>
      </c>
      <c r="B250" s="19"/>
      <c r="C250" s="19"/>
      <c r="D250" s="19">
        <f>D240*90%</f>
        <v>-16363.636363636362</v>
      </c>
      <c r="E250" s="4"/>
      <c r="I250" s="1" t="s">
        <v>172</v>
      </c>
    </row>
    <row r="251" spans="1:9" x14ac:dyDescent="0.2">
      <c r="A251" s="25" t="s">
        <v>170</v>
      </c>
      <c r="B251" s="19"/>
      <c r="C251" s="19"/>
      <c r="D251" s="19">
        <f>D241*90%</f>
        <v>-108979.27139373541</v>
      </c>
      <c r="E251" s="4"/>
      <c r="I251" s="1" t="s">
        <v>243</v>
      </c>
    </row>
    <row r="252" spans="1:9" x14ac:dyDescent="0.2">
      <c r="A252" s="25" t="s">
        <v>171</v>
      </c>
      <c r="B252" s="19"/>
      <c r="C252" s="19"/>
      <c r="D252" s="19">
        <f>D242*90%</f>
        <v>10250.142551297438</v>
      </c>
      <c r="E252" s="4"/>
      <c r="I252" s="1" t="s">
        <v>173</v>
      </c>
    </row>
    <row r="253" spans="1:9" x14ac:dyDescent="0.2">
      <c r="A253" s="110" t="s">
        <v>177</v>
      </c>
      <c r="B253" s="19"/>
      <c r="C253" s="19"/>
      <c r="D253" s="9">
        <f>D229*0.1</f>
        <v>486.05987274298968</v>
      </c>
      <c r="E253" s="4"/>
      <c r="I253" s="1" t="s">
        <v>166</v>
      </c>
    </row>
    <row r="254" spans="1:9" x14ac:dyDescent="0.2">
      <c r="A254" s="25" t="s">
        <v>178</v>
      </c>
      <c r="B254" s="19"/>
      <c r="C254" s="19"/>
      <c r="D254" s="19">
        <f>SUM(D248:D253)</f>
        <v>644393.29466666863</v>
      </c>
      <c r="E254" s="4"/>
    </row>
    <row r="255" spans="1:9" x14ac:dyDescent="0.2">
      <c r="A255" s="54"/>
      <c r="B255" s="19"/>
      <c r="C255" s="19"/>
      <c r="D255" s="19"/>
      <c r="E255" s="4"/>
    </row>
    <row r="256" spans="1:9" x14ac:dyDescent="0.2">
      <c r="A256" s="64" t="s">
        <v>264</v>
      </c>
      <c r="B256" s="19"/>
      <c r="C256" s="19"/>
      <c r="D256" s="19"/>
      <c r="E256" s="4"/>
    </row>
    <row r="257" spans="1:9" x14ac:dyDescent="0.2">
      <c r="A257" s="25" t="s">
        <v>197</v>
      </c>
      <c r="B257" s="19"/>
      <c r="C257" s="19"/>
      <c r="D257" s="19">
        <f>(D239-400000*10%)*10%</f>
        <v>51000</v>
      </c>
      <c r="E257" s="4"/>
      <c r="I257" s="1" t="s">
        <v>185</v>
      </c>
    </row>
    <row r="258" spans="1:9" x14ac:dyDescent="0.2">
      <c r="A258" s="25" t="s">
        <v>198</v>
      </c>
      <c r="B258" s="19"/>
      <c r="C258" s="19"/>
      <c r="D258" s="19">
        <f>400000*10%</f>
        <v>40000</v>
      </c>
      <c r="E258" s="4"/>
      <c r="I258" s="1" t="s">
        <v>186</v>
      </c>
    </row>
    <row r="259" spans="1:9" x14ac:dyDescent="0.2">
      <c r="A259" s="25" t="s">
        <v>169</v>
      </c>
      <c r="B259" s="19"/>
      <c r="C259" s="19"/>
      <c r="D259" s="19">
        <f>D240*10%</f>
        <v>-1818.181818181818</v>
      </c>
      <c r="E259" s="4"/>
      <c r="I259" s="1" t="s">
        <v>174</v>
      </c>
    </row>
    <row r="260" spans="1:9" x14ac:dyDescent="0.2">
      <c r="A260" s="25" t="s">
        <v>170</v>
      </c>
      <c r="B260" s="19"/>
      <c r="C260" s="19"/>
      <c r="D260" s="19">
        <f>D241*10%</f>
        <v>-12108.807932637268</v>
      </c>
      <c r="E260" s="4"/>
      <c r="I260" s="1" t="s">
        <v>244</v>
      </c>
    </row>
    <row r="261" spans="1:9" x14ac:dyDescent="0.2">
      <c r="A261" s="25" t="s">
        <v>171</v>
      </c>
      <c r="B261" s="19"/>
      <c r="C261" s="19"/>
      <c r="D261" s="19">
        <f>D242*10%</f>
        <v>1138.9047279219376</v>
      </c>
      <c r="E261" s="4"/>
      <c r="I261" s="1" t="s">
        <v>175</v>
      </c>
    </row>
    <row r="262" spans="1:9" x14ac:dyDescent="0.2">
      <c r="A262" s="25" t="s">
        <v>176</v>
      </c>
      <c r="B262" s="19"/>
      <c r="C262" s="19"/>
      <c r="D262" s="9">
        <f>-D253</f>
        <v>-486.05987274298968</v>
      </c>
      <c r="E262" s="4"/>
      <c r="I262" s="1" t="s">
        <v>166</v>
      </c>
    </row>
    <row r="263" spans="1:9" x14ac:dyDescent="0.2">
      <c r="A263" s="25" t="s">
        <v>179</v>
      </c>
      <c r="B263" s="19"/>
      <c r="C263" s="19"/>
      <c r="D263" s="12">
        <f>SUM(D257:D262)</f>
        <v>77725.855104359856</v>
      </c>
      <c r="E263" s="4"/>
    </row>
    <row r="264" spans="1:9" ht="15" thickBot="1" x14ac:dyDescent="0.25">
      <c r="A264" s="25" t="s">
        <v>180</v>
      </c>
      <c r="B264" s="19"/>
      <c r="C264" s="19"/>
      <c r="D264" s="70">
        <f>D254+D263</f>
        <v>722119.14977102843</v>
      </c>
      <c r="E264" s="4"/>
    </row>
    <row r="265" spans="1:9" ht="15.75" thickTop="1" thickBot="1" x14ac:dyDescent="0.25">
      <c r="A265" s="25"/>
      <c r="B265" s="19"/>
      <c r="C265" s="19"/>
      <c r="D265" s="19"/>
      <c r="E265" s="4"/>
    </row>
    <row r="266" spans="1:9" ht="15" thickBot="1" x14ac:dyDescent="0.25">
      <c r="A266" s="115" t="s">
        <v>261</v>
      </c>
      <c r="B266" s="116"/>
      <c r="C266" s="116"/>
      <c r="D266" s="116"/>
      <c r="E266" s="116"/>
      <c r="F266" s="116"/>
      <c r="G266" s="116"/>
      <c r="H266" s="116"/>
      <c r="I266" s="117"/>
    </row>
    <row r="267" spans="1:9" x14ac:dyDescent="0.2">
      <c r="A267" s="25"/>
      <c r="B267" s="19"/>
      <c r="C267" s="19"/>
      <c r="D267" s="19"/>
      <c r="E267" s="4"/>
    </row>
    <row r="268" spans="1:9" ht="15" x14ac:dyDescent="0.25">
      <c r="A268" s="66" t="s">
        <v>246</v>
      </c>
      <c r="B268" s="19"/>
      <c r="C268" s="19"/>
      <c r="D268" s="19"/>
      <c r="E268" s="4"/>
    </row>
    <row r="269" spans="1:9" x14ac:dyDescent="0.2">
      <c r="A269" s="25" t="s">
        <v>203</v>
      </c>
      <c r="B269" s="19"/>
      <c r="C269" s="19"/>
      <c r="D269" s="19">
        <f>15000*(10-7)</f>
        <v>45000</v>
      </c>
      <c r="E269" s="4"/>
      <c r="I269" s="1" t="s">
        <v>204</v>
      </c>
    </row>
    <row r="270" spans="1:9" x14ac:dyDescent="0.2">
      <c r="A270" s="25" t="s">
        <v>245</v>
      </c>
      <c r="B270" s="19"/>
      <c r="C270" s="19"/>
      <c r="D270" s="19">
        <f>D269/10</f>
        <v>4500</v>
      </c>
      <c r="E270" s="4"/>
      <c r="I270" s="1" t="s">
        <v>205</v>
      </c>
    </row>
    <row r="271" spans="1:9" x14ac:dyDescent="0.2">
      <c r="A271" s="25"/>
      <c r="B271" s="19"/>
      <c r="C271" s="19"/>
      <c r="D271" s="19"/>
      <c r="E271" s="4"/>
    </row>
    <row r="272" spans="1:9" ht="15" x14ac:dyDescent="0.25">
      <c r="A272" s="46" t="s">
        <v>143</v>
      </c>
      <c r="B272" s="12"/>
      <c r="C272" s="12"/>
      <c r="D272" s="12"/>
      <c r="E272" s="49"/>
    </row>
    <row r="273" spans="1:9" x14ac:dyDescent="0.2">
      <c r="A273" s="13" t="s">
        <v>183</v>
      </c>
      <c r="B273" s="19"/>
      <c r="C273" s="19"/>
      <c r="D273" s="25">
        <f>E101</f>
        <v>50000</v>
      </c>
      <c r="E273" s="14"/>
    </row>
    <row r="274" spans="1:9" x14ac:dyDescent="0.2">
      <c r="A274" s="47" t="s">
        <v>113</v>
      </c>
      <c r="B274" s="19"/>
      <c r="C274" s="19"/>
      <c r="D274" s="19"/>
      <c r="E274" s="50">
        <f>D270</f>
        <v>4500</v>
      </c>
    </row>
    <row r="275" spans="1:9" x14ac:dyDescent="0.2">
      <c r="A275" s="48" t="s">
        <v>116</v>
      </c>
      <c r="B275" s="9"/>
      <c r="C275" s="9"/>
      <c r="D275" s="9"/>
      <c r="E275" s="51">
        <f>D273-E274</f>
        <v>45500</v>
      </c>
      <c r="I275" s="1" t="s">
        <v>57</v>
      </c>
    </row>
    <row r="276" spans="1:9" x14ac:dyDescent="0.2">
      <c r="A276" s="25"/>
      <c r="B276" s="19"/>
      <c r="C276" s="19"/>
      <c r="D276" s="19"/>
      <c r="E276" s="4"/>
    </row>
    <row r="277" spans="1:9" ht="15" x14ac:dyDescent="0.25">
      <c r="A277" s="66" t="s">
        <v>221</v>
      </c>
      <c r="B277" s="19"/>
      <c r="C277" s="19"/>
      <c r="D277" s="19"/>
      <c r="E277" s="4"/>
    </row>
    <row r="278" spans="1:9" x14ac:dyDescent="0.2">
      <c r="A278" s="25" t="s">
        <v>123</v>
      </c>
      <c r="B278" s="19"/>
      <c r="C278" s="19"/>
      <c r="D278" s="75">
        <f>90000/100000</f>
        <v>0.9</v>
      </c>
      <c r="E278" s="4"/>
      <c r="I278" s="1" t="s">
        <v>220</v>
      </c>
    </row>
    <row r="279" spans="1:9" x14ac:dyDescent="0.2">
      <c r="A279" s="71" t="s">
        <v>124</v>
      </c>
      <c r="B279" s="96"/>
      <c r="C279" s="96"/>
      <c r="D279" s="106">
        <f>90000/(100000+E274)</f>
        <v>0.86124401913875603</v>
      </c>
      <c r="E279" s="107"/>
      <c r="F279" s="97"/>
      <c r="G279" s="97"/>
      <c r="H279" s="97"/>
      <c r="I279" s="97" t="s">
        <v>250</v>
      </c>
    </row>
    <row r="280" spans="1:9" x14ac:dyDescent="0.2">
      <c r="A280" s="25" t="s">
        <v>135</v>
      </c>
      <c r="B280" s="19"/>
      <c r="C280" s="19"/>
      <c r="D280" s="59">
        <f>D278-D279</f>
        <v>3.8755980861243988E-2</v>
      </c>
      <c r="E280" s="4"/>
    </row>
    <row r="281" spans="1:9" x14ac:dyDescent="0.2">
      <c r="A281" s="25"/>
      <c r="B281" s="19"/>
      <c r="C281" s="19"/>
      <c r="D281" s="19"/>
      <c r="E281" s="4"/>
    </row>
    <row r="282" spans="1:9" ht="15" x14ac:dyDescent="0.25">
      <c r="A282" s="66" t="s">
        <v>144</v>
      </c>
      <c r="B282" s="19"/>
      <c r="C282" s="19"/>
      <c r="D282" s="19"/>
      <c r="E282" s="4"/>
    </row>
    <row r="283" spans="1:9" x14ac:dyDescent="0.2">
      <c r="A283" s="25" t="s">
        <v>206</v>
      </c>
      <c r="B283" s="19"/>
      <c r="C283" s="19"/>
      <c r="D283" s="25">
        <f>D31</f>
        <v>700000</v>
      </c>
      <c r="E283" s="4"/>
    </row>
    <row r="284" spans="1:9" x14ac:dyDescent="0.2">
      <c r="A284" s="25" t="s">
        <v>265</v>
      </c>
      <c r="B284" s="19"/>
      <c r="C284" s="19"/>
      <c r="D284" s="25">
        <v>40000</v>
      </c>
      <c r="E284" s="4"/>
      <c r="I284" s="1" t="s">
        <v>266</v>
      </c>
    </row>
    <row r="285" spans="1:9" x14ac:dyDescent="0.2">
      <c r="A285" s="25" t="s">
        <v>64</v>
      </c>
      <c r="B285" s="19"/>
      <c r="C285" s="19"/>
      <c r="D285" s="25" t="s">
        <v>188</v>
      </c>
      <c r="E285" s="4"/>
      <c r="I285" s="1" t="s">
        <v>209</v>
      </c>
    </row>
    <row r="286" spans="1:9" x14ac:dyDescent="0.2">
      <c r="A286" s="25" t="s">
        <v>207</v>
      </c>
      <c r="B286" s="19"/>
      <c r="C286" s="19"/>
      <c r="D286" s="25" t="s">
        <v>188</v>
      </c>
      <c r="E286" s="4"/>
      <c r="I286" s="1" t="s">
        <v>209</v>
      </c>
    </row>
    <row r="287" spans="1:9" x14ac:dyDescent="0.2">
      <c r="A287" s="25" t="s">
        <v>65</v>
      </c>
      <c r="B287" s="19"/>
      <c r="C287" s="19"/>
      <c r="D287" s="25">
        <f>E100</f>
        <v>101009.24910642239</v>
      </c>
      <c r="E287" s="4"/>
    </row>
    <row r="288" spans="1:9" ht="15" x14ac:dyDescent="0.25">
      <c r="A288" s="25" t="s">
        <v>267</v>
      </c>
      <c r="B288" s="19"/>
      <c r="C288" s="19"/>
      <c r="D288" s="9">
        <f>D243-D242</f>
        <v>410730.10249180906</v>
      </c>
      <c r="E288" s="42" t="s">
        <v>55</v>
      </c>
      <c r="F288" s="1" t="s">
        <v>268</v>
      </c>
    </row>
    <row r="289" spans="1:9" x14ac:dyDescent="0.2">
      <c r="A289" s="25"/>
      <c r="B289" s="19"/>
      <c r="C289" s="19"/>
      <c r="D289" s="19">
        <f>SUM(D283:D288)</f>
        <v>1251739.3515982316</v>
      </c>
      <c r="E289" s="4"/>
    </row>
    <row r="290" spans="1:9" x14ac:dyDescent="0.2">
      <c r="A290" s="25" t="s">
        <v>211</v>
      </c>
      <c r="B290" s="19"/>
      <c r="C290" s="19"/>
      <c r="D290" s="9">
        <f>-(D287+100000*4*10%)</f>
        <v>-141009.24910642239</v>
      </c>
      <c r="E290" s="4"/>
      <c r="I290" s="1" t="s">
        <v>212</v>
      </c>
    </row>
    <row r="291" spans="1:9" x14ac:dyDescent="0.2">
      <c r="A291" s="25"/>
      <c r="B291" s="19"/>
      <c r="C291" s="19"/>
      <c r="D291" s="19">
        <f>SUM(D289:D290)</f>
        <v>1110730.1024918093</v>
      </c>
      <c r="E291" s="4"/>
    </row>
    <row r="292" spans="1:9" x14ac:dyDescent="0.2">
      <c r="A292" s="25" t="s">
        <v>213</v>
      </c>
      <c r="B292" s="19"/>
      <c r="C292" s="19"/>
      <c r="D292" s="27">
        <v>0.1</v>
      </c>
      <c r="E292" s="4"/>
    </row>
    <row r="293" spans="1:9" x14ac:dyDescent="0.2">
      <c r="B293" s="19"/>
      <c r="C293" s="19"/>
      <c r="D293" s="19">
        <f>D291*D292</f>
        <v>111073.01024918094</v>
      </c>
      <c r="E293" s="4"/>
    </row>
    <row r="294" spans="1:9" ht="15" x14ac:dyDescent="0.25">
      <c r="A294" s="1" t="s">
        <v>171</v>
      </c>
      <c r="B294" s="19"/>
      <c r="C294" s="19"/>
      <c r="D294" s="19">
        <f>D261</f>
        <v>1138.9047279219376</v>
      </c>
      <c r="E294" s="42"/>
    </row>
    <row r="295" spans="1:9" x14ac:dyDescent="0.2">
      <c r="A295" s="25" t="s">
        <v>176</v>
      </c>
      <c r="B295" s="19"/>
      <c r="C295" s="19"/>
      <c r="D295" s="9">
        <f>D262</f>
        <v>-486.05987274298968</v>
      </c>
      <c r="E295" s="4"/>
    </row>
    <row r="296" spans="1:9" x14ac:dyDescent="0.2">
      <c r="A296" s="25" t="s">
        <v>247</v>
      </c>
      <c r="D296" s="1">
        <f>SUM(D293:D295)</f>
        <v>111725.85510435989</v>
      </c>
    </row>
    <row r="297" spans="1:9" x14ac:dyDescent="0.2">
      <c r="A297" s="25" t="s">
        <v>216</v>
      </c>
      <c r="B297" s="19"/>
      <c r="C297" s="19"/>
      <c r="D297" s="19">
        <f>-D290</f>
        <v>141009.24910642239</v>
      </c>
      <c r="E297" s="4"/>
    </row>
    <row r="298" spans="1:9" x14ac:dyDescent="0.2">
      <c r="A298" s="25" t="s">
        <v>214</v>
      </c>
      <c r="B298" s="19"/>
      <c r="C298" s="19"/>
      <c r="D298" s="19">
        <f>D213</f>
        <v>124837.5404158821</v>
      </c>
      <c r="E298" s="4"/>
      <c r="I298" s="1" t="s">
        <v>217</v>
      </c>
    </row>
    <row r="299" spans="1:9" ht="15" thickBot="1" x14ac:dyDescent="0.25">
      <c r="A299" s="25" t="s">
        <v>215</v>
      </c>
      <c r="B299" s="19"/>
      <c r="C299" s="19"/>
      <c r="D299" s="28">
        <f>E101</f>
        <v>50000</v>
      </c>
      <c r="E299" s="4"/>
    </row>
    <row r="300" spans="1:9" ht="15" thickTop="1" x14ac:dyDescent="0.2">
      <c r="A300" s="25"/>
      <c r="B300" s="19"/>
      <c r="C300" s="19"/>
      <c r="D300" s="19">
        <f>SUM(D296:D299)</f>
        <v>427572.64462666435</v>
      </c>
      <c r="E300" s="4"/>
    </row>
    <row r="301" spans="1:9" x14ac:dyDescent="0.2">
      <c r="A301" s="25"/>
      <c r="B301" s="19"/>
      <c r="C301" s="19"/>
      <c r="D301" s="19"/>
      <c r="E301" s="4"/>
    </row>
    <row r="302" spans="1:9" ht="15" x14ac:dyDescent="0.25">
      <c r="A302" s="66" t="s">
        <v>222</v>
      </c>
      <c r="B302" s="19"/>
      <c r="C302" s="19"/>
      <c r="D302" s="19"/>
      <c r="E302" s="4"/>
    </row>
    <row r="303" spans="1:9" x14ac:dyDescent="0.2">
      <c r="A303" s="25" t="s">
        <v>223</v>
      </c>
      <c r="B303" s="19"/>
      <c r="C303" s="19"/>
      <c r="D303" s="25">
        <f>D291</f>
        <v>1110730.1024918093</v>
      </c>
      <c r="E303" s="4"/>
    </row>
    <row r="304" spans="1:9" x14ac:dyDescent="0.2">
      <c r="A304" s="25" t="s">
        <v>224</v>
      </c>
      <c r="B304" s="19"/>
      <c r="C304" s="19"/>
      <c r="D304" s="30">
        <f>E274+E275</f>
        <v>50000</v>
      </c>
      <c r="E304" s="4"/>
      <c r="I304" s="1" t="s">
        <v>248</v>
      </c>
    </row>
    <row r="305" spans="1:9" x14ac:dyDescent="0.2">
      <c r="A305" s="25"/>
      <c r="B305" s="19"/>
      <c r="C305" s="19"/>
      <c r="D305" s="19">
        <f>SUM(D303:D304)</f>
        <v>1160730.1024918093</v>
      </c>
      <c r="E305" s="4"/>
    </row>
    <row r="306" spans="1:9" x14ac:dyDescent="0.2">
      <c r="A306" s="25" t="s">
        <v>213</v>
      </c>
      <c r="B306" s="19"/>
      <c r="C306" s="19"/>
      <c r="D306" s="63">
        <f>1-D279</f>
        <v>0.13875598086124397</v>
      </c>
      <c r="E306" s="4"/>
      <c r="I306" s="1" t="s">
        <v>251</v>
      </c>
    </row>
    <row r="307" spans="1:9" x14ac:dyDescent="0.2">
      <c r="B307" s="19"/>
      <c r="C307" s="19"/>
      <c r="D307" s="19">
        <f>D305*D306</f>
        <v>161058.24388642324</v>
      </c>
      <c r="E307" s="4"/>
    </row>
    <row r="308" spans="1:9" ht="15" x14ac:dyDescent="0.25">
      <c r="A308" s="1" t="s">
        <v>171</v>
      </c>
      <c r="B308" s="19"/>
      <c r="C308" s="19"/>
      <c r="D308" s="19">
        <f>D261</f>
        <v>1138.9047279219376</v>
      </c>
      <c r="E308" s="42" t="s">
        <v>55</v>
      </c>
      <c r="F308" s="1" t="s">
        <v>270</v>
      </c>
    </row>
    <row r="309" spans="1:9" x14ac:dyDescent="0.2">
      <c r="A309" s="25" t="s">
        <v>176</v>
      </c>
      <c r="B309" s="19"/>
      <c r="C309" s="19"/>
      <c r="D309" s="19">
        <f>D295</f>
        <v>-486.05987274298968</v>
      </c>
      <c r="E309" s="4"/>
    </row>
    <row r="310" spans="1:9" x14ac:dyDescent="0.2">
      <c r="A310" s="25" t="s">
        <v>225</v>
      </c>
      <c r="B310" s="19"/>
      <c r="C310" s="19"/>
      <c r="D310" s="9">
        <f>(D33-D40)/D278*D280</f>
        <v>1937.7990430621994</v>
      </c>
      <c r="E310" s="4"/>
      <c r="I310" s="1" t="s">
        <v>252</v>
      </c>
    </row>
    <row r="311" spans="1:9" x14ac:dyDescent="0.2">
      <c r="A311" s="25" t="s">
        <v>247</v>
      </c>
      <c r="D311" s="1">
        <f>SUM(D307:D310)</f>
        <v>163648.8877846644</v>
      </c>
    </row>
    <row r="312" spans="1:9" x14ac:dyDescent="0.2">
      <c r="A312" s="25" t="s">
        <v>216</v>
      </c>
      <c r="B312" s="19"/>
      <c r="C312" s="19"/>
      <c r="D312" s="19">
        <f>D297</f>
        <v>141009.24910642239</v>
      </c>
      <c r="E312" s="4"/>
    </row>
    <row r="313" spans="1:9" x14ac:dyDescent="0.2">
      <c r="A313" s="25" t="s">
        <v>214</v>
      </c>
      <c r="B313" s="19"/>
      <c r="C313" s="19"/>
      <c r="D313" s="19">
        <f>D298</f>
        <v>124837.5404158821</v>
      </c>
      <c r="E313" s="4"/>
    </row>
    <row r="314" spans="1:9" ht="15" thickBot="1" x14ac:dyDescent="0.25">
      <c r="A314" s="25" t="s">
        <v>215</v>
      </c>
      <c r="B314" s="19"/>
      <c r="C314" s="19"/>
      <c r="D314" s="31" t="s">
        <v>188</v>
      </c>
      <c r="E314" s="4"/>
      <c r="I314" s="1" t="s">
        <v>255</v>
      </c>
    </row>
    <row r="315" spans="1:9" ht="15" thickTop="1" x14ac:dyDescent="0.2">
      <c r="A315" s="25"/>
      <c r="B315" s="19"/>
      <c r="C315" s="19"/>
      <c r="D315" s="19">
        <f>SUM(D311:D314)</f>
        <v>429495.67730696895</v>
      </c>
      <c r="E315" s="4"/>
    </row>
    <row r="316" spans="1:9" x14ac:dyDescent="0.2">
      <c r="A316" s="25"/>
      <c r="B316" s="19"/>
      <c r="C316" s="19"/>
      <c r="D316" s="19"/>
      <c r="E316" s="4"/>
    </row>
    <row r="317" spans="1:9" ht="15" x14ac:dyDescent="0.25">
      <c r="A317" s="112" t="s">
        <v>125</v>
      </c>
      <c r="B317" s="111" t="s">
        <v>269</v>
      </c>
      <c r="C317" s="19"/>
      <c r="D317" s="19"/>
      <c r="E317" s="4"/>
    </row>
    <row r="318" spans="1:9" ht="15" x14ac:dyDescent="0.25">
      <c r="A318" s="112"/>
      <c r="B318" s="25" t="s">
        <v>272</v>
      </c>
      <c r="C318" s="19"/>
      <c r="D318" s="19"/>
      <c r="E318" s="4"/>
    </row>
    <row r="319" spans="1:9" ht="15" x14ac:dyDescent="0.25">
      <c r="A319" s="112"/>
      <c r="B319" s="25" t="s">
        <v>273</v>
      </c>
      <c r="C319" s="19"/>
      <c r="D319" s="19"/>
      <c r="E319" s="4"/>
    </row>
    <row r="320" spans="1:9" ht="15" thickBot="1" x14ac:dyDescent="0.25">
      <c r="A320" s="25"/>
      <c r="B320" s="19"/>
      <c r="C320" s="19"/>
      <c r="D320" s="19"/>
      <c r="E320" s="4"/>
    </row>
    <row r="321" spans="1:9" ht="15" x14ac:dyDescent="0.25">
      <c r="A321" s="32" t="s">
        <v>226</v>
      </c>
      <c r="B321" s="15"/>
      <c r="C321" s="15"/>
      <c r="D321" s="15"/>
      <c r="E321" s="53"/>
    </row>
    <row r="322" spans="1:9" x14ac:dyDescent="0.2">
      <c r="A322" s="18" t="s">
        <v>23</v>
      </c>
      <c r="B322" s="19"/>
      <c r="C322" s="19"/>
      <c r="D322" s="25">
        <f>E323</f>
        <v>1923.0326803046046</v>
      </c>
      <c r="E322" s="20"/>
    </row>
    <row r="323" spans="1:9" ht="15" thickBot="1" x14ac:dyDescent="0.25">
      <c r="A323" s="37" t="s">
        <v>38</v>
      </c>
      <c r="B323" s="21"/>
      <c r="C323" s="21"/>
      <c r="D323" s="21"/>
      <c r="E323" s="39">
        <f>D315-D300</f>
        <v>1923.0326803046046</v>
      </c>
      <c r="I323" s="1" t="s">
        <v>271</v>
      </c>
    </row>
    <row r="324" spans="1:9" x14ac:dyDescent="0.2">
      <c r="A324" s="25"/>
      <c r="B324" s="19"/>
      <c r="C324" s="19"/>
      <c r="D324" s="19"/>
      <c r="E324" s="4"/>
    </row>
    <row r="325" spans="1:9" ht="15" x14ac:dyDescent="0.25">
      <c r="A325" s="66" t="s">
        <v>199</v>
      </c>
      <c r="B325" s="19"/>
      <c r="C325" s="19"/>
      <c r="D325" s="19"/>
      <c r="E325" s="4"/>
    </row>
    <row r="326" spans="1:9" x14ac:dyDescent="0.2">
      <c r="A326" s="25" t="s">
        <v>10</v>
      </c>
      <c r="B326" s="19"/>
      <c r="C326" s="19"/>
      <c r="D326" s="25" t="s">
        <v>188</v>
      </c>
      <c r="E326" s="4"/>
    </row>
    <row r="327" spans="1:9" x14ac:dyDescent="0.2">
      <c r="A327" s="25" t="s">
        <v>187</v>
      </c>
      <c r="B327" s="19"/>
      <c r="C327" s="19"/>
      <c r="D327" s="25">
        <f>E47</f>
        <v>70000</v>
      </c>
      <c r="E327" s="4"/>
    </row>
    <row r="328" spans="1:9" x14ac:dyDescent="0.2">
      <c r="A328" s="25" t="s">
        <v>219</v>
      </c>
      <c r="B328" s="19"/>
      <c r="C328" s="19"/>
      <c r="D328" s="25">
        <f>E107</f>
        <v>192459.30299426519</v>
      </c>
      <c r="E328" s="4"/>
    </row>
    <row r="329" spans="1:9" x14ac:dyDescent="0.2">
      <c r="A329" s="25" t="s">
        <v>200</v>
      </c>
      <c r="B329" s="19"/>
      <c r="C329" s="19"/>
      <c r="D329" s="25">
        <f>-D166</f>
        <v>-10362.513471960699</v>
      </c>
      <c r="E329" s="4"/>
    </row>
    <row r="330" spans="1:9" x14ac:dyDescent="0.2">
      <c r="A330" s="25" t="s">
        <v>201</v>
      </c>
      <c r="B330" s="19"/>
      <c r="C330" s="19"/>
      <c r="D330" s="25">
        <f>E176</f>
        <v>4000</v>
      </c>
      <c r="E330" s="4"/>
    </row>
    <row r="331" spans="1:9" x14ac:dyDescent="0.2">
      <c r="A331" s="25" t="s">
        <v>122</v>
      </c>
      <c r="B331" s="19"/>
      <c r="C331" s="19"/>
      <c r="D331" s="25">
        <f>E198</f>
        <v>93750</v>
      </c>
      <c r="E331" s="4"/>
    </row>
    <row r="332" spans="1:9" x14ac:dyDescent="0.2">
      <c r="A332" s="25" t="s">
        <v>168</v>
      </c>
      <c r="B332" s="19"/>
      <c r="C332" s="19"/>
      <c r="D332" s="30">
        <f>D263</f>
        <v>77725.855104359856</v>
      </c>
      <c r="E332" s="4"/>
    </row>
    <row r="333" spans="1:9" x14ac:dyDescent="0.2">
      <c r="A333" s="25" t="s">
        <v>141</v>
      </c>
      <c r="B333" s="19"/>
      <c r="C333" s="19"/>
      <c r="D333" s="25">
        <f>SUM(D326:D332)</f>
        <v>427572.64462666441</v>
      </c>
      <c r="E333" s="4"/>
    </row>
    <row r="334" spans="1:9" ht="15" thickBot="1" x14ac:dyDescent="0.25">
      <c r="A334" s="25" t="s">
        <v>208</v>
      </c>
      <c r="B334" s="19"/>
      <c r="C334" s="19"/>
      <c r="D334" s="28">
        <f>E323</f>
        <v>1923.0326803046046</v>
      </c>
      <c r="E334" s="4"/>
    </row>
    <row r="335" spans="1:9" ht="15" thickTop="1" x14ac:dyDescent="0.2">
      <c r="A335" s="25" t="s">
        <v>112</v>
      </c>
      <c r="B335" s="19"/>
      <c r="C335" s="19"/>
      <c r="D335" s="19">
        <f>SUM(D333:D334)</f>
        <v>429495.67730696901</v>
      </c>
      <c r="E335" s="4"/>
    </row>
    <row r="336" spans="1:9" x14ac:dyDescent="0.2">
      <c r="A336" s="25"/>
      <c r="B336" s="19"/>
      <c r="C336" s="19"/>
      <c r="D336" s="19"/>
      <c r="E336" s="4"/>
    </row>
  </sheetData>
  <mergeCells count="16">
    <mergeCell ref="A220:I220"/>
    <mergeCell ref="A235:I235"/>
    <mergeCell ref="A246:I246"/>
    <mergeCell ref="A266:I266"/>
    <mergeCell ref="A180:I180"/>
    <mergeCell ref="A1:I1"/>
    <mergeCell ref="A20:I20"/>
    <mergeCell ref="A26:I26"/>
    <mergeCell ref="A50:I50"/>
    <mergeCell ref="A109:I109"/>
    <mergeCell ref="A178:I178"/>
    <mergeCell ref="A170:I170"/>
    <mergeCell ref="A121:I121"/>
    <mergeCell ref="A126:I126"/>
    <mergeCell ref="A140:I140"/>
    <mergeCell ref="A145:I145"/>
  </mergeCells>
  <printOptions horizontalCentered="1"/>
  <pageMargins left="0.7" right="0.7" top="0.75" bottom="0.75" header="0.3" footer="0.3"/>
  <pageSetup paperSize="9" scale="82" fitToWidth="6" fitToHeight="6" orientation="portrait" r:id="rId1"/>
  <headerFooter>
    <oddHeader>&amp;F</oddHeader>
    <oddFooter>Page &amp;P of &amp;N</oddFooter>
  </headerFooter>
  <rowBreaks count="4" manualBreakCount="4">
    <brk id="56" max="8" man="1"/>
    <brk id="113" max="8" man="1"/>
    <brk id="218" max="8" man="1"/>
    <brk id="27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2"/>
  <sheetViews>
    <sheetView rightToLeft="1" view="pageBreakPreview" zoomScaleNormal="100" zoomScaleSheetLayoutView="100" workbookViewId="0">
      <selection activeCell="B9" sqref="B9"/>
    </sheetView>
  </sheetViews>
  <sheetFormatPr defaultRowHeight="14.25" x14ac:dyDescent="0.2"/>
  <cols>
    <col min="1" max="1" width="10.75" bestFit="1" customWidth="1"/>
    <col min="2" max="2" width="26.125" customWidth="1"/>
    <col min="3" max="3" width="5.25" customWidth="1"/>
    <col min="4" max="11" width="9.875" customWidth="1"/>
  </cols>
  <sheetData>
    <row r="1" spans="1:11" ht="15.75" thickBot="1" x14ac:dyDescent="0.3">
      <c r="A1" s="124" t="s">
        <v>227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</row>
    <row r="2" spans="1:11" ht="15" thickBot="1" x14ac:dyDescent="0.25"/>
    <row r="3" spans="1:11" ht="60.75" thickBot="1" x14ac:dyDescent="0.25">
      <c r="A3" s="76" t="s">
        <v>4</v>
      </c>
      <c r="B3" s="77" t="s">
        <v>5</v>
      </c>
      <c r="C3" s="76" t="s">
        <v>6</v>
      </c>
      <c r="D3" s="78" t="s">
        <v>1</v>
      </c>
      <c r="E3" s="76" t="s">
        <v>2</v>
      </c>
      <c r="F3" s="76" t="s">
        <v>3</v>
      </c>
      <c r="G3" s="79" t="s">
        <v>22</v>
      </c>
      <c r="H3" s="79" t="s">
        <v>13</v>
      </c>
      <c r="I3" s="79" t="s">
        <v>8</v>
      </c>
      <c r="J3" s="79" t="s">
        <v>9</v>
      </c>
      <c r="K3" s="80" t="s">
        <v>7</v>
      </c>
    </row>
    <row r="4" spans="1:11" ht="15" x14ac:dyDescent="0.25">
      <c r="A4" s="81" t="s">
        <v>228</v>
      </c>
      <c r="B4" s="82" t="s">
        <v>10</v>
      </c>
      <c r="C4" s="83">
        <v>1</v>
      </c>
      <c r="D4" s="84">
        <f>באורים!D22</f>
        <v>200000</v>
      </c>
      <c r="E4" s="85">
        <f>באורים!D23</f>
        <v>200000</v>
      </c>
      <c r="F4" s="85">
        <f>באורים!D24</f>
        <v>150000</v>
      </c>
      <c r="G4" s="85"/>
      <c r="H4" s="85"/>
      <c r="I4" s="88">
        <f>SUM(D4:H4)</f>
        <v>550000</v>
      </c>
      <c r="J4" s="85"/>
      <c r="K4" s="89">
        <f>SUM(I4:J4)</f>
        <v>550000</v>
      </c>
    </row>
    <row r="5" spans="1:11" ht="15" x14ac:dyDescent="0.25">
      <c r="A5" s="81" t="s">
        <v>229</v>
      </c>
      <c r="B5" s="82" t="s">
        <v>230</v>
      </c>
      <c r="C5" s="83">
        <v>2</v>
      </c>
      <c r="D5" s="84"/>
      <c r="E5" s="85"/>
      <c r="F5" s="85"/>
      <c r="G5" s="85"/>
      <c r="H5" s="85">
        <f>-באורים!D45</f>
        <v>-80000</v>
      </c>
      <c r="I5" s="88">
        <f t="shared" ref="I5:I8" si="0">SUM(D5:H5)</f>
        <v>-80000</v>
      </c>
      <c r="J5" s="85">
        <f>באורים!E47</f>
        <v>70000</v>
      </c>
      <c r="K5" s="89">
        <f t="shared" ref="K5:K11" si="1">SUM(I5:J5)</f>
        <v>-10000</v>
      </c>
    </row>
    <row r="6" spans="1:11" ht="15" x14ac:dyDescent="0.25">
      <c r="A6" s="81" t="s">
        <v>231</v>
      </c>
      <c r="B6" s="82" t="s">
        <v>232</v>
      </c>
      <c r="C6" s="83">
        <v>3</v>
      </c>
      <c r="D6" s="84"/>
      <c r="E6" s="85"/>
      <c r="F6" s="85"/>
      <c r="G6" s="85"/>
      <c r="H6" s="85"/>
      <c r="I6" s="88"/>
      <c r="J6" s="85">
        <f>באורים!E107</f>
        <v>192459.30299426519</v>
      </c>
      <c r="K6" s="89">
        <f t="shared" si="1"/>
        <v>192459.30299426519</v>
      </c>
    </row>
    <row r="7" spans="1:11" ht="15" x14ac:dyDescent="0.25">
      <c r="A7" s="81" t="s">
        <v>233</v>
      </c>
      <c r="B7" s="82" t="s">
        <v>200</v>
      </c>
      <c r="C7" s="83">
        <v>5</v>
      </c>
      <c r="D7" s="84"/>
      <c r="E7" s="85"/>
      <c r="F7" s="85"/>
      <c r="G7" s="85">
        <f>-באורים!D167</f>
        <v>-28238.972801816766</v>
      </c>
      <c r="H7" s="85"/>
      <c r="I7" s="88">
        <f t="shared" si="0"/>
        <v>-28238.972801816766</v>
      </c>
      <c r="J7" s="85">
        <f>-באורים!D166</f>
        <v>-10362.513471960699</v>
      </c>
      <c r="K7" s="89">
        <f t="shared" si="1"/>
        <v>-38601.486273777467</v>
      </c>
    </row>
    <row r="8" spans="1:11" ht="15" x14ac:dyDescent="0.25">
      <c r="A8" s="81" t="s">
        <v>234</v>
      </c>
      <c r="B8" s="82" t="s">
        <v>235</v>
      </c>
      <c r="C8" s="83">
        <v>6</v>
      </c>
      <c r="D8" s="84"/>
      <c r="E8" s="85">
        <f>באורים!E175</f>
        <v>36000</v>
      </c>
      <c r="F8" s="85"/>
      <c r="G8" s="85"/>
      <c r="H8" s="85">
        <f>באורים!E174</f>
        <v>80000</v>
      </c>
      <c r="I8" s="88">
        <f t="shared" si="0"/>
        <v>116000</v>
      </c>
      <c r="J8" s="85">
        <f>באורים!E176</f>
        <v>4000</v>
      </c>
      <c r="K8" s="89">
        <f t="shared" si="1"/>
        <v>120000</v>
      </c>
    </row>
    <row r="9" spans="1:11" ht="15" x14ac:dyDescent="0.25">
      <c r="A9" s="81" t="s">
        <v>236</v>
      </c>
      <c r="B9" s="82" t="s">
        <v>237</v>
      </c>
      <c r="C9" s="83">
        <v>7</v>
      </c>
      <c r="D9" s="84"/>
      <c r="E9" s="85"/>
      <c r="F9" s="85"/>
      <c r="G9" s="85"/>
      <c r="H9" s="85"/>
      <c r="I9" s="88"/>
      <c r="J9" s="85">
        <f>באורים!E198</f>
        <v>93750</v>
      </c>
      <c r="K9" s="89">
        <f t="shared" si="1"/>
        <v>93750</v>
      </c>
    </row>
    <row r="10" spans="1:11" ht="15" x14ac:dyDescent="0.25">
      <c r="A10" s="81" t="s">
        <v>236</v>
      </c>
      <c r="B10" s="82" t="s">
        <v>239</v>
      </c>
      <c r="C10" s="83">
        <v>9</v>
      </c>
      <c r="D10" s="84"/>
      <c r="E10" s="85"/>
      <c r="F10" s="85"/>
      <c r="G10" s="85">
        <f>-באורים!D322</f>
        <v>-1923.0326803046046</v>
      </c>
      <c r="H10" s="85"/>
      <c r="I10" s="88"/>
      <c r="J10" s="85">
        <f>באורים!E323</f>
        <v>1923.0326803046046</v>
      </c>
      <c r="K10" s="89">
        <f t="shared" si="1"/>
        <v>1923.0326803046046</v>
      </c>
    </row>
    <row r="11" spans="1:11" ht="15.75" thickBot="1" x14ac:dyDescent="0.3">
      <c r="A11" s="81" t="s">
        <v>188</v>
      </c>
      <c r="B11" s="82" t="s">
        <v>238</v>
      </c>
      <c r="C11" s="83">
        <v>8</v>
      </c>
      <c r="D11" s="91"/>
      <c r="E11" s="92"/>
      <c r="F11" s="92">
        <f>באורים!D254</f>
        <v>644393.29466666863</v>
      </c>
      <c r="G11" s="92"/>
      <c r="H11" s="92"/>
      <c r="I11" s="93"/>
      <c r="J11" s="92">
        <f>באורים!D263</f>
        <v>77725.855104359856</v>
      </c>
      <c r="K11" s="94">
        <f t="shared" si="1"/>
        <v>77725.855104359856</v>
      </c>
    </row>
    <row r="12" spans="1:11" s="24" customFormat="1" ht="16.5" thickTop="1" thickBot="1" x14ac:dyDescent="0.3">
      <c r="A12" s="86"/>
      <c r="B12" s="87"/>
      <c r="C12" s="87"/>
      <c r="D12" s="90">
        <f t="shared" ref="D12:K12" si="2">SUM(D4:D11)</f>
        <v>200000</v>
      </c>
      <c r="E12" s="90">
        <f t="shared" si="2"/>
        <v>236000</v>
      </c>
      <c r="F12" s="90">
        <f t="shared" si="2"/>
        <v>794393.29466666863</v>
      </c>
      <c r="G12" s="90">
        <f t="shared" si="2"/>
        <v>-30162.005482121371</v>
      </c>
      <c r="H12" s="90">
        <f t="shared" si="2"/>
        <v>0</v>
      </c>
      <c r="I12" s="90">
        <f t="shared" si="2"/>
        <v>557761.02719818323</v>
      </c>
      <c r="J12" s="90">
        <f t="shared" si="2"/>
        <v>429495.67730696901</v>
      </c>
      <c r="K12" s="90">
        <f t="shared" si="2"/>
        <v>987256.7045051523</v>
      </c>
    </row>
  </sheetData>
  <mergeCells count="1">
    <mergeCell ref="A1:K1"/>
  </mergeCells>
  <printOptions horizontalCentered="1"/>
  <pageMargins left="0.7" right="0.7" top="0.75" bottom="0.75" header="0.3" footer="0.3"/>
  <pageSetup paperSize="9" scale="99" orientation="landscape" r:id="rId1"/>
  <headerFooter>
    <oddHeader>&amp;F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באורים</vt:lpstr>
      <vt:lpstr>דוח על השינויים בהון</vt:lpstr>
      <vt:lpstr>באורים!WPrint_Area_W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Matan</dc:creator>
  <cp:lastModifiedBy>אלכס</cp:lastModifiedBy>
  <cp:lastPrinted>2015-06-25T15:58:10Z</cp:lastPrinted>
  <dcterms:created xsi:type="dcterms:W3CDTF">2014-02-14T12:32:44Z</dcterms:created>
  <dcterms:modified xsi:type="dcterms:W3CDTF">2018-07-01T19:35:42Z</dcterms:modified>
</cp:coreProperties>
</file>