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אלכס\Desktop\בשטח ifrs\אקדמיית IFRS\מבחנים ופתרונות של שנת השלמה\מבחנים ערוכים להעלאה\בוחן אמצע 2018\"/>
    </mc:Choice>
  </mc:AlternateContent>
  <xr:revisionPtr revIDLastSave="0" documentId="8_{2E9892D2-98D1-4F20-BF4F-3D68A8CD81B0}" xr6:coauthVersionLast="34" xr6:coauthVersionMax="34" xr10:uidLastSave="{00000000-0000-0000-0000-000000000000}"/>
  <bookViews>
    <workbookView xWindow="0" yWindow="0" windowWidth="16410" windowHeight="7575" xr2:uid="{00000000-000D-0000-FFFF-FFFF00000000}"/>
  </bookViews>
  <sheets>
    <sheet name="פתרון" sheetId="1" r:id="rId1"/>
    <sheet name="תנועה בזשמ&quot;ש" sheetId="2" r:id="rId2"/>
  </sheets>
  <definedNames>
    <definedName name="_xlnm.Print_Area" localSheetId="0">פתרון!$A$1:$I$171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1" l="1"/>
  <c r="C150" i="1" l="1"/>
  <c r="D32" i="1"/>
  <c r="C25" i="1"/>
  <c r="C23" i="1"/>
  <c r="D13" i="1"/>
  <c r="D48" i="1" l="1"/>
  <c r="D40" i="1"/>
  <c r="C56" i="1" l="1"/>
  <c r="C58" i="1" s="1"/>
  <c r="C6" i="1"/>
  <c r="C5" i="1"/>
  <c r="C28" i="1" s="1"/>
  <c r="D52" i="1"/>
  <c r="C140" i="1"/>
  <c r="B117" i="1"/>
  <c r="B120" i="1" s="1"/>
  <c r="D109" i="1"/>
  <c r="D110" i="1" s="1"/>
  <c r="D112" i="1" s="1"/>
  <c r="H95" i="1"/>
  <c r="E95" i="1" s="1"/>
  <c r="C82" i="1"/>
  <c r="C80" i="1"/>
  <c r="E57" i="1" l="1"/>
  <c r="G25" i="1"/>
  <c r="D36" i="1"/>
  <c r="C26" i="1"/>
  <c r="D15" i="1"/>
  <c r="D14" i="1"/>
  <c r="D19" i="1"/>
  <c r="D18" i="1"/>
  <c r="D17" i="1"/>
  <c r="A143" i="1"/>
  <c r="D162" i="1" s="1"/>
  <c r="D44" i="1"/>
  <c r="E67" i="1"/>
  <c r="E68" i="1" s="1"/>
  <c r="B3" i="2" s="1"/>
  <c r="E167" i="1"/>
  <c r="C98" i="1"/>
  <c r="C102" i="1" s="1"/>
  <c r="D42" i="1" s="1"/>
  <c r="C122" i="1"/>
  <c r="G115" i="1"/>
  <c r="G117" i="1" s="1"/>
  <c r="D127" i="1" s="1"/>
  <c r="G27" i="1" s="1"/>
  <c r="E80" i="1"/>
  <c r="B4" i="2" l="1"/>
  <c r="D126" i="1"/>
  <c r="D34" i="1" s="1"/>
  <c r="D131" i="1"/>
  <c r="C135" i="1" s="1"/>
  <c r="D51" i="1" s="1"/>
  <c r="G80" i="1"/>
  <c r="C86" i="1"/>
  <c r="D41" i="1" s="1"/>
  <c r="D43" i="1" s="1"/>
  <c r="C24" i="1" s="1"/>
  <c r="C27" i="1" s="1"/>
  <c r="C166" i="1"/>
  <c r="C99" i="1"/>
  <c r="C103" i="1" s="1"/>
  <c r="D50" i="1" s="1"/>
  <c r="E82" i="1"/>
  <c r="D129" i="1" l="1"/>
  <c r="G24" i="1" s="1"/>
  <c r="G23" i="1"/>
  <c r="C29" i="1"/>
  <c r="D45" i="1"/>
  <c r="G82" i="1"/>
  <c r="A90" i="1" s="1"/>
  <c r="C87" i="1"/>
  <c r="D49" i="1" s="1"/>
  <c r="D53" i="1" s="1"/>
  <c r="E56" i="1" s="1"/>
  <c r="E58" i="1" s="1"/>
  <c r="D60" i="1" s="1"/>
  <c r="C168" i="1"/>
  <c r="G26" i="1" l="1"/>
  <c r="G28" i="1" s="1"/>
  <c r="B5" i="2" s="1"/>
  <c r="C63" i="1"/>
  <c r="B6" i="2" s="1"/>
  <c r="D161" i="1"/>
  <c r="D163" i="1" s="1"/>
  <c r="E166" i="1" s="1"/>
  <c r="E168" i="1" s="1"/>
  <c r="C171" i="1" s="1"/>
  <c r="B7" i="2" s="1"/>
  <c r="D35" i="1" l="1"/>
  <c r="D33" i="1" s="1"/>
</calcChain>
</file>

<file path=xl/sharedStrings.xml><?xml version="1.0" encoding="utf-8"?>
<sst xmlns="http://schemas.openxmlformats.org/spreadsheetml/2006/main" count="206" uniqueCount="148">
  <si>
    <t>זכויות שאינן מקנות שליטה</t>
  </si>
  <si>
    <t>1/1/2017 - יתרת פתיחה</t>
  </si>
  <si>
    <t>פתרון שאלת מכשירים פיננסיים</t>
  </si>
  <si>
    <t>יתרת סגירה - 31/12/2017</t>
  </si>
  <si>
    <t>יתרת ההון העצמי של חברת הבת ליום 31/12/16</t>
  </si>
  <si>
    <t>שיעור ההחזקה של המיעוט</t>
  </si>
  <si>
    <t>יתרת הזשמש - 31/12/16</t>
  </si>
  <si>
    <t>N=</t>
  </si>
  <si>
    <t>i=</t>
  </si>
  <si>
    <t>FV=</t>
  </si>
  <si>
    <t>השפעה על הרווח הנקי:</t>
  </si>
  <si>
    <t>מחצית שנה ראשונה</t>
  </si>
  <si>
    <t>מחצית שנה שנייה</t>
  </si>
  <si>
    <t>PMT=</t>
  </si>
  <si>
    <t>PV=</t>
  </si>
  <si>
    <t>הוצאות מימון 1/1-30/6</t>
  </si>
  <si>
    <t>הוצאות מימון 1/7-31/12</t>
  </si>
  <si>
    <t>תמורה מהנפקה, ברוטו</t>
  </si>
  <si>
    <t>תמורה המיוחסת להנפקת הרכיב ההתחייבותי:</t>
  </si>
  <si>
    <t>נטו מהוצאות הנפקה:</t>
  </si>
  <si>
    <t>תמורה המיוחסת להנפקת הרכיב ההוני:</t>
  </si>
  <si>
    <t>הוצאות מימון בגין ההתחייבות 1/7-31/12:</t>
  </si>
  <si>
    <t>-</t>
  </si>
  <si>
    <t>יתרת ההשקעה ל-31/12/17:</t>
  </si>
  <si>
    <t>50%*20,000*5=</t>
  </si>
  <si>
    <t>רווח נתון (לפני השפעת הסעיפים)</t>
  </si>
  <si>
    <t>שיעור החזקת המיעוט</t>
  </si>
  <si>
    <t>כללי</t>
  </si>
  <si>
    <t>1/1/2017 - 30/6/2017</t>
  </si>
  <si>
    <t>1/7/2017 - 31/12/2017</t>
  </si>
  <si>
    <t>מיוחס למניות בכורה:</t>
  </si>
  <si>
    <t>מיוחס למניות הרגילות:</t>
  </si>
  <si>
    <t>יתרת הזשמ"ש - 31/12/17:</t>
  </si>
  <si>
    <t>100K*10%*6/12=</t>
  </si>
  <si>
    <t>200,000*6/12=</t>
  </si>
  <si>
    <t>הנפקת אופציות מכר</t>
  </si>
  <si>
    <t>פקודת יומן בדוח המאוחד - הנפקת אופציות מכר</t>
  </si>
  <si>
    <t>פקודת יומן בדוח המאוחד - הנפקת מניות בכורה</t>
  </si>
  <si>
    <t>ביאור 2 - אופציות מכר (PUT)</t>
  </si>
  <si>
    <t>ביאור 7 - רכישת מניות - מניות באוצר</t>
  </si>
  <si>
    <t>ביאור 6 - יתרה הדדית - הלוואה</t>
  </si>
  <si>
    <t>ביאור 5 - הנפקת אופציות ע"י חברת האם</t>
  </si>
  <si>
    <t>ביאור 4 - מניות בכורה</t>
  </si>
  <si>
    <t>ביאור 3 - אג"ח צמיתה</t>
  </si>
  <si>
    <t>פקודת היומן בדוחות המאוחדים (ביאור 2):</t>
  </si>
  <si>
    <t>רווח כולל</t>
  </si>
  <si>
    <t>1/1/17 - 30/6/2017</t>
  </si>
  <si>
    <t>סה"כ</t>
  </si>
  <si>
    <t>רווח השייך לזשמ"ש 1/1 - 30/6</t>
  </si>
  <si>
    <t>1/7/17 - 31/12/2017</t>
  </si>
  <si>
    <t>רווח השייך לזשמ"ש 1/7 - 31/12</t>
  </si>
  <si>
    <t>שיעורי ההחזקה של חברת מנב בחברת קבל במהלך 2017:</t>
  </si>
  <si>
    <t>ח' מזומן</t>
  </si>
  <si>
    <t>ז' קרן הון</t>
  </si>
  <si>
    <t>ז' זשמ"ש</t>
  </si>
  <si>
    <t>נתון כי מנב מחזיקה בקבל מיום הקמתה ולא נתון על עסקאות בין חברתיות.</t>
  </si>
  <si>
    <t>מאוחד</t>
  </si>
  <si>
    <t>ז' התחייבות</t>
  </si>
  <si>
    <t>ח' הוצ' מימון</t>
  </si>
  <si>
    <t xml:space="preserve">רווח מתוקן </t>
  </si>
  <si>
    <t>PV(n=2,i=7%,fv=150K)=</t>
  </si>
  <si>
    <t>131,016*(1-85%)=</t>
  </si>
  <si>
    <t>131,016*(85%)=</t>
  </si>
  <si>
    <t>10,000*2=</t>
  </si>
  <si>
    <t>ח' קרן הון</t>
  </si>
  <si>
    <t>ח' זשמ"ש</t>
  </si>
  <si>
    <t>ז' התחייבות בגין אופ' מכר</t>
  </si>
  <si>
    <t>1000+6,250*2=</t>
  </si>
  <si>
    <t>נתון</t>
  </si>
  <si>
    <t>ז' התחייבות בגין מב"כ</t>
  </si>
  <si>
    <t>ז' מב"כ - רכיב הוני</t>
  </si>
  <si>
    <t>ז' הון מניות</t>
  </si>
  <si>
    <t>135,000-1,000=</t>
  </si>
  <si>
    <t>P.N.</t>
  </si>
  <si>
    <t>פקודת יומן בדוחות האינדיבידואליים:</t>
  </si>
  <si>
    <t>חישוב זשמ"ש רגע לפני:</t>
  </si>
  <si>
    <t>י.פ הון</t>
  </si>
  <si>
    <t>רווח מתוקן H1</t>
  </si>
  <si>
    <t>קרן הון אופצ' PUT</t>
  </si>
  <si>
    <t>קרן הון בחובה אופצ' PUT</t>
  </si>
  <si>
    <t>סה"כ הון</t>
  </si>
  <si>
    <t>שיעור המיעוט</t>
  </si>
  <si>
    <t>זשמ"ש רגע לפני</t>
  </si>
  <si>
    <t>חישוב זשמ"ש רגע אחרי:</t>
  </si>
  <si>
    <t>זשמ"ש ללא מב"כ</t>
  </si>
  <si>
    <t>מב"כ רכיב הוני</t>
  </si>
  <si>
    <t>סה"כ הון רגע לפני</t>
  </si>
  <si>
    <t>מניות כעלויות הנפקה</t>
  </si>
  <si>
    <t>6,250*2=</t>
  </si>
  <si>
    <t>זשמ"ש רגע אחרי</t>
  </si>
  <si>
    <t>ח' קרן הון - עסקאות עם הזשמ"ש</t>
  </si>
  <si>
    <t>ז' קרן הון אופצ' PUT</t>
  </si>
  <si>
    <t>ח' התחייבות</t>
  </si>
  <si>
    <t>ז' הוצ' מימון</t>
  </si>
  <si>
    <t>תמורה נטו</t>
  </si>
  <si>
    <t>ביאור 4</t>
  </si>
  <si>
    <t>164,775-101,560=</t>
  </si>
  <si>
    <t>(131,016-20,000)*(85%-80%)=</t>
  </si>
  <si>
    <t>ביאור 2</t>
  </si>
  <si>
    <t>ביאור 3</t>
  </si>
  <si>
    <t>ביאור 6</t>
  </si>
  <si>
    <t>ביאור 8</t>
  </si>
  <si>
    <t xml:space="preserve">אופציות מכר </t>
  </si>
  <si>
    <t xml:space="preserve">אג"ח צמיתה </t>
  </si>
  <si>
    <t xml:space="preserve">מניות בכורה </t>
  </si>
  <si>
    <t xml:space="preserve">הלוואה </t>
  </si>
  <si>
    <t>סה"כ רווח המשוייך לזשמ"ש</t>
  </si>
  <si>
    <t>חושב להלן</t>
  </si>
  <si>
    <t>החברה מחוייבת רק לתשלום הריביות. הערך הנקוב של האג"ח לא ייפרע לעולם, גם לא בעת פירוק. לכן המכשיר מייצג תשלום ריבית לאורך חיים בלתי מוגדר, וככזה יסווג במלואו כהתחייבות פיננסית ויחשוב לפי ערך נוכחי של תשלומי הריבית העתידיים.</t>
  </si>
  <si>
    <t>שווי הוגן של עלויות הנפקה</t>
  </si>
  <si>
    <t>שיעור עלויות ההנפקה מתוך התמורה</t>
  </si>
  <si>
    <t>תמורה מהנפקה, נטו מעלויות הנפקה</t>
  </si>
  <si>
    <t>94,639*(1.08^0.5-1)=</t>
  </si>
  <si>
    <t>השפעה על ההון של הבת ליום 31/12/17:</t>
  </si>
  <si>
    <t>200000*(1.06^(3/12)-1)=</t>
  </si>
  <si>
    <t>חברת קבל רוכשת מניות של חברת מנב - מניות באוצר. העסקה לא משפיעה על התנועה בזשמ"ש - השפעת העסקה על ההון המאוחד מיוחסת לבעלים.</t>
  </si>
  <si>
    <t>הנפקת מב"כ (השפעת השינוי בשיעור ההחזקה)</t>
  </si>
  <si>
    <t xml:space="preserve">הון עצמי </t>
  </si>
  <si>
    <t>אופציות מכר</t>
  </si>
  <si>
    <t>ביאור 5</t>
  </si>
  <si>
    <t>חושב בגיליון 'פתרון'</t>
  </si>
  <si>
    <t>יש לחשב את יתרת הזשמ"ש ליום 31/12/17, לשם כך יש להתחשב בהשפעת הבת על ההון המאוחד במהלך השנה:</t>
  </si>
  <si>
    <t xml:space="preserve">ביטול השקעה באופצ' של האם </t>
  </si>
  <si>
    <t>20,000*(1-85%)=</t>
  </si>
  <si>
    <t>20,000*85%=</t>
  </si>
  <si>
    <t>ביאור 1 -  יתרת פתיחה זכויות שאינן מקנות שליטה</t>
  </si>
  <si>
    <t>רווח כולל של חברת קבל וייחוסו לזכויות שאינן מקנות שליטה</t>
  </si>
  <si>
    <t>בעת הנפקת מב"כ, חברת קבל מעניקה מניות ליועציה, יש ירידה בשיעור ההחזקה.</t>
  </si>
  <si>
    <t xml:space="preserve">דגשים:
- הנדרש הינו תנועה בזכויות שאינן מקנות שליטה, כפי שתופיע בדוח על השינויים בהון המאוחד לשנת 2017.
- הרווח של חברת הבת אינו כולל את השפעת כל הסעיפים בשאלה, בעוד ההון העצמי הנתון של הבת מתוך דוחותיה האינדיבידואליים כולל את השפעת הסעיפים. </t>
  </si>
  <si>
    <t>ספרי הבת (לא נדרש)</t>
  </si>
  <si>
    <t>פקודת איחוד (תיקון) (לא נדרש)</t>
  </si>
  <si>
    <t>חברת הבת מנפיקה PUT על מניות האם בתנאי סילוק ברוטו, לכן:
- בראי המאוחד - מדובר באופציה הונית + התח' פיננסית בגין המחויבות לשלם מזומן.
- בראי חברת הבת - בדובר במכשיר התחייבותי (לא על מניותיה) שנמדד בשווי הוגן דרך רווח או הפסד.</t>
  </si>
  <si>
    <t>השפעה על הרווח הנקי (השפעה לצורך הדוח המאוחד):</t>
  </si>
  <si>
    <r>
      <t>300,000 * ((1+5%)^</t>
    </r>
    <r>
      <rPr>
        <vertAlign val="superscript"/>
        <sz val="11"/>
        <color theme="1"/>
        <rFont val="Arial"/>
        <family val="2"/>
        <scheme val="minor"/>
      </rPr>
      <t>0.5</t>
    </r>
    <r>
      <rPr>
        <sz val="11"/>
        <color theme="1"/>
        <rFont val="Arial"/>
        <family val="2"/>
        <charset val="177"/>
        <scheme val="minor"/>
      </rPr>
      <t xml:space="preserve"> - 1)</t>
    </r>
  </si>
  <si>
    <t>300'000 * 5% - 7,409 =</t>
  </si>
  <si>
    <t xml:space="preserve">PV = </t>
  </si>
  <si>
    <t>מדובר במכשיר פיננסי מורכב, כאשר רכיבי הערך הנקוב והדיבידנד הצביר מהווים התחייבות פיננסית ואופצית ההמרה מהווה רכיב הוני.
לחברה נוצרו עלויות הנפקה בסך 1,000 ש"ח במזומן ובנוסף, העניקה ליועציה 6,250 מניות. מדובר במענק בתחולת IFRS 2, אשר יש לרשום אותו לפי השווי ההוגן של השירותים שהתקבלו, אלא אם הם לא ניתנים לאמידה מהימנה ואז יש לרשום אותם לפי השווי ההוגן של המכשירים המוענקים. לכן במקרה זה הוצאות ההנפקה שייזקפו למכשיר הן 1000, ש"ח ועוד השווי ההוגן של 6,250 המניות שהוענקו. בנוסף, מכיוון שהמכשירים שמוענקים ליועצים הינם מניות רגילות של חברת קבל, נוצר שינוי בשיעור ההחזקה של מנב בקבל כך שלאחר עסקה זו שיעור ההחזקה של מנב בקבל הינו 80%.</t>
  </si>
  <si>
    <t>105,154 * 90% =</t>
  </si>
  <si>
    <t>135,000 - 105,154 =</t>
  </si>
  <si>
    <t>יתרה לייחוס</t>
  </si>
  <si>
    <t>29,846 * 90% =</t>
  </si>
  <si>
    <t>ז' פרמיה</t>
  </si>
  <si>
    <t>פקודת היומן בדוחות המאוחדים (ביאור 4) (לא נדרש - נדרש רק הגידול בזשמ"ש):</t>
  </si>
  <si>
    <t>חברת מנב מנפיקה אופציות וחברת קבל רוכשת 50% מתוכן. אין השפעה על התנועה בזשמ"ש. בנוסף, אין לתקן בגין פעולה זו את הרווח הנקי הנתון לפני השפעת הסעיפים, שכן רווח זה אינו כולל את שיערוך ההשקעה באופציות של חברת האם, שביצעה חברת הבת. כל המידע שיש לקחת מנתון זה הינו יתרת ההשקעה באופציות של חברת מנב כפי שרשומה בדוחותיה של חברת קבל, לצורך חישוב יתרת הזשמ"ש לסוף שנת 2017 (אשר איננה נדרשת במסגרת השאלה - הנדרש הינו תנועה בלבד):</t>
  </si>
  <si>
    <t>חברת מנב נותנת הלוואה לחברת קבל. מדובר ביתרה הדדית - ההשפעה של עסקה זו על הרווח של חברת הבת מקבלת ביטוי בדוח המאוחד מאחר ואינה מתבטלת ברווח של כל אחת מהחברות, אלא רק בתוך סעיפי המימון במאוחד לצורך מניעת "ניפוח" בסעיפים אלו. לכן יש לתקן את הרווח הנקי של חברת קבל בגובה הוצאות המימון שנרשמו על ההלוואה:
הוצאות מימון בגין ההלוואה (רלוונטי רק למחצית השנה השנייה).</t>
  </si>
  <si>
    <t>13,213 + 20,220 =</t>
  </si>
  <si>
    <t>ביאור 8 - יתרת סגירה זכויות שאינן מקנות שליטה (לא נדרש)</t>
  </si>
  <si>
    <t>סה"כ השפעה על ההון של הבת בעיני המאחד ליום 31/12/17 (לא נדרש):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</si>
</sst>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 #,##0_ ;_ * \-#,##0_ ;_ * &quot;-&quot;??_ ;_ @_ "/>
    <numFmt numFmtId="166" formatCode="_(* #,##0_);_(* \(#,##0\);_(* &quot;-&quot;??_);_(@_)"/>
  </numFmts>
  <fonts count="13" x14ac:knownFonts="1">
    <font>
      <sz val="11"/>
      <color theme="1"/>
      <name val="Arial"/>
      <family val="2"/>
      <charset val="177"/>
      <scheme val="minor"/>
    </font>
    <font>
      <b/>
      <sz val="11"/>
      <color theme="1"/>
      <name val="Arial"/>
      <family val="2"/>
      <scheme val="minor"/>
    </font>
    <font>
      <sz val="11"/>
      <color theme="1"/>
      <name val="Arial"/>
      <family val="2"/>
      <charset val="177"/>
      <scheme val="minor"/>
    </font>
    <font>
      <sz val="11"/>
      <color theme="1"/>
      <name val="Arial"/>
      <family val="2"/>
      <scheme val="minor"/>
    </font>
    <font>
      <b/>
      <u/>
      <sz val="11"/>
      <color theme="1"/>
      <name val="Arial"/>
      <family val="2"/>
      <scheme val="minor"/>
    </font>
    <font>
      <u/>
      <sz val="11"/>
      <color theme="1"/>
      <name val="Arial"/>
      <family val="2"/>
      <charset val="177"/>
      <scheme val="minor"/>
    </font>
    <font>
      <u/>
      <sz val="11"/>
      <color theme="1"/>
      <name val="Arial"/>
      <family val="2"/>
      <scheme val="minor"/>
    </font>
    <font>
      <b/>
      <sz val="10"/>
      <color theme="1"/>
      <name val="Arial"/>
      <family val="2"/>
      <scheme val="minor"/>
    </font>
    <font>
      <vertAlign val="superscript"/>
      <sz val="11"/>
      <color theme="1"/>
      <name val="Arial"/>
      <family val="2"/>
      <scheme val="minor"/>
    </font>
    <font>
      <sz val="11"/>
      <name val="Arial"/>
      <family val="2"/>
      <charset val="177"/>
      <scheme val="minor"/>
    </font>
    <font>
      <b/>
      <sz val="11"/>
      <name val="Arial"/>
      <family val="2"/>
      <charset val="177"/>
      <scheme val="minor"/>
    </font>
    <font>
      <b/>
      <sz val="11"/>
      <name val="Arial"/>
      <family val="2"/>
      <scheme val="minor"/>
    </font>
    <font>
      <sz val="11"/>
      <name val="Arial"/>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dashDot">
        <color indexed="64"/>
      </bottom>
      <diagonal/>
    </border>
    <border>
      <left style="thin">
        <color indexed="64"/>
      </left>
      <right/>
      <top/>
      <bottom style="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137">
    <xf numFmtId="0" fontId="0" fillId="0" borderId="0" xfId="0"/>
    <xf numFmtId="0" fontId="1" fillId="0" borderId="0" xfId="0" applyFont="1"/>
    <xf numFmtId="0" fontId="1" fillId="0" borderId="1" xfId="0" applyFont="1" applyBorder="1" applyAlignment="1">
      <alignment wrapText="1"/>
    </xf>
    <xf numFmtId="0" fontId="0" fillId="0" borderId="0" xfId="0" applyAlignment="1">
      <alignment horizontal="right"/>
    </xf>
    <xf numFmtId="3" fontId="0" fillId="0" borderId="0" xfId="0" applyNumberFormat="1"/>
    <xf numFmtId="3" fontId="1" fillId="0" borderId="0" xfId="0" applyNumberFormat="1" applyFont="1"/>
    <xf numFmtId="0" fontId="1" fillId="0" borderId="0" xfId="0" applyFont="1" applyBorder="1" applyAlignment="1">
      <alignment horizontal="right"/>
    </xf>
    <xf numFmtId="3" fontId="3" fillId="0" borderId="0" xfId="0" applyNumberFormat="1" applyFont="1"/>
    <xf numFmtId="9" fontId="3" fillId="0" borderId="1" xfId="2" applyFont="1" applyBorder="1"/>
    <xf numFmtId="9" fontId="0" fillId="0" borderId="0" xfId="0" applyNumberFormat="1"/>
    <xf numFmtId="165" fontId="0" fillId="0" borderId="0" xfId="1" applyNumberFormat="1" applyFont="1"/>
    <xf numFmtId="165" fontId="0" fillId="0" borderId="0" xfId="0" applyNumberFormat="1"/>
    <xf numFmtId="0" fontId="0" fillId="0" borderId="1" xfId="0" applyBorder="1"/>
    <xf numFmtId="9" fontId="0" fillId="0" borderId="0" xfId="2" applyFont="1"/>
    <xf numFmtId="165" fontId="1" fillId="0" borderId="0" xfId="1" applyNumberFormat="1" applyFont="1"/>
    <xf numFmtId="0" fontId="4" fillId="0" borderId="0" xfId="0" applyFont="1"/>
    <xf numFmtId="0" fontId="0" fillId="0" borderId="0" xfId="0" applyBorder="1"/>
    <xf numFmtId="0" fontId="0" fillId="0" borderId="7" xfId="0" applyBorder="1"/>
    <xf numFmtId="0" fontId="0" fillId="0" borderId="6" xfId="0" applyBorder="1"/>
    <xf numFmtId="165" fontId="0" fillId="0" borderId="0" xfId="1" applyNumberFormat="1" applyFont="1" applyBorder="1"/>
    <xf numFmtId="0" fontId="0" fillId="0" borderId="8" xfId="0" applyBorder="1"/>
    <xf numFmtId="0" fontId="0" fillId="0" borderId="9" xfId="0" applyBorder="1"/>
    <xf numFmtId="9" fontId="0" fillId="0" borderId="0" xfId="0" applyNumberFormat="1" applyBorder="1"/>
    <xf numFmtId="3" fontId="0" fillId="0" borderId="0" xfId="0" applyNumberFormat="1" applyBorder="1"/>
    <xf numFmtId="165" fontId="0" fillId="0" borderId="1" xfId="1" applyNumberFormat="1" applyFont="1" applyBorder="1"/>
    <xf numFmtId="165" fontId="1" fillId="0" borderId="0" xfId="1" applyNumberFormat="1" applyFont="1" applyBorder="1"/>
    <xf numFmtId="165" fontId="1" fillId="0" borderId="1" xfId="1" applyNumberFormat="1" applyFont="1" applyBorder="1"/>
    <xf numFmtId="0" fontId="5" fillId="0" borderId="0" xfId="0" applyFont="1" applyAlignment="1"/>
    <xf numFmtId="165" fontId="1" fillId="0" borderId="0" xfId="0" applyNumberFormat="1" applyFont="1"/>
    <xf numFmtId="165" fontId="0" fillId="0" borderId="1" xfId="0" applyNumberFormat="1" applyBorder="1"/>
    <xf numFmtId="9" fontId="0" fillId="0" borderId="1" xfId="0" applyNumberFormat="1" applyBorder="1"/>
    <xf numFmtId="0" fontId="1" fillId="0" borderId="0" xfId="0" applyFont="1" applyBorder="1"/>
    <xf numFmtId="0" fontId="0" fillId="0" borderId="0" xfId="0" applyAlignment="1">
      <alignment horizontal="right"/>
    </xf>
    <xf numFmtId="0" fontId="0" fillId="0" borderId="4" xfId="0" applyBorder="1"/>
    <xf numFmtId="165" fontId="0" fillId="0" borderId="0" xfId="1" applyNumberFormat="1" applyFont="1" applyBorder="1" applyAlignment="1">
      <alignment horizontal="right" vertical="center"/>
    </xf>
    <xf numFmtId="0" fontId="0" fillId="0" borderId="0" xfId="0" applyBorder="1" applyAlignment="1">
      <alignment horizontal="right" vertical="center"/>
    </xf>
    <xf numFmtId="166" fontId="3" fillId="0" borderId="0" xfId="1" applyNumberFormat="1" applyFont="1"/>
    <xf numFmtId="0" fontId="0" fillId="0" borderId="14" xfId="0" applyBorder="1"/>
    <xf numFmtId="0" fontId="0" fillId="3" borderId="2" xfId="0" applyFill="1" applyBorder="1"/>
    <xf numFmtId="14" fontId="0" fillId="3" borderId="10" xfId="0" applyNumberFormat="1" applyFill="1" applyBorder="1"/>
    <xf numFmtId="0" fontId="0" fillId="3" borderId="11" xfId="0" applyFill="1" applyBorder="1"/>
    <xf numFmtId="0" fontId="0" fillId="3" borderId="12" xfId="0" applyFill="1" applyBorder="1"/>
    <xf numFmtId="0" fontId="0" fillId="0" borderId="0" xfId="0" applyAlignment="1">
      <alignment horizontal="right"/>
    </xf>
    <xf numFmtId="166" fontId="0" fillId="0" borderId="0" xfId="1" applyNumberFormat="1" applyFont="1"/>
    <xf numFmtId="165" fontId="3" fillId="0" borderId="0" xfId="0" applyNumberFormat="1" applyFont="1"/>
    <xf numFmtId="0" fontId="1" fillId="0" borderId="0" xfId="0" applyFont="1" applyFill="1" applyBorder="1" applyAlignment="1">
      <alignment horizontal="center"/>
    </xf>
    <xf numFmtId="0" fontId="0" fillId="0" borderId="0" xfId="0" applyFill="1" applyBorder="1" applyAlignment="1">
      <alignment horizontal="center"/>
    </xf>
    <xf numFmtId="165" fontId="1" fillId="0" borderId="3" xfId="1" applyNumberFormat="1" applyFont="1" applyBorder="1"/>
    <xf numFmtId="165" fontId="3" fillId="0" borderId="0" xfId="1" applyNumberFormat="1" applyFont="1"/>
    <xf numFmtId="0" fontId="0" fillId="0" borderId="0" xfId="0" applyAlignment="1">
      <alignment horizontal="center"/>
    </xf>
    <xf numFmtId="0" fontId="0" fillId="0" borderId="0" xfId="0" applyAlignment="1"/>
    <xf numFmtId="0" fontId="0" fillId="0" borderId="0" xfId="0" applyAlignment="1">
      <alignment horizontal="right" vertical="center"/>
    </xf>
    <xf numFmtId="0" fontId="3" fillId="0" borderId="0" xfId="0" applyFont="1" applyAlignment="1"/>
    <xf numFmtId="0" fontId="3" fillId="0" borderId="0" xfId="0" applyFont="1" applyAlignment="1">
      <alignment horizontal="right" indent="3"/>
    </xf>
    <xf numFmtId="0" fontId="0" fillId="0" borderId="0" xfId="0" applyAlignment="1">
      <alignment horizontal="right" indent="3"/>
    </xf>
    <xf numFmtId="0" fontId="1" fillId="0" borderId="0" xfId="0" applyFont="1" applyFill="1" applyBorder="1" applyAlignment="1">
      <alignment horizontal="right"/>
    </xf>
    <xf numFmtId="165" fontId="3" fillId="0" borderId="0" xfId="1" applyNumberFormat="1" applyFont="1" applyBorder="1"/>
    <xf numFmtId="0" fontId="0" fillId="0" borderId="0" xfId="0" applyBorder="1" applyAlignment="1">
      <alignment horizontal="right" indent="3"/>
    </xf>
    <xf numFmtId="165" fontId="0" fillId="0" borderId="0" xfId="0" applyNumberFormat="1" applyBorder="1"/>
    <xf numFmtId="0" fontId="6" fillId="0" borderId="0" xfId="0" applyFont="1" applyBorder="1"/>
    <xf numFmtId="0" fontId="5" fillId="0" borderId="0" xfId="0" applyFont="1"/>
    <xf numFmtId="165" fontId="0" fillId="0" borderId="0" xfId="0" applyNumberFormat="1" applyFill="1" applyBorder="1" applyAlignment="1">
      <alignment horizontal="center"/>
    </xf>
    <xf numFmtId="165" fontId="3" fillId="0" borderId="3" xfId="0" applyNumberFormat="1" applyFont="1" applyBorder="1"/>
    <xf numFmtId="9" fontId="3" fillId="0" borderId="0" xfId="2" applyFont="1"/>
    <xf numFmtId="0" fontId="0" fillId="0" borderId="0" xfId="0" applyFill="1" applyBorder="1" applyAlignment="1">
      <alignment horizontal="right"/>
    </xf>
    <xf numFmtId="165" fontId="0" fillId="0" borderId="0" xfId="0" applyNumberFormat="1" applyFill="1" applyBorder="1" applyAlignment="1">
      <alignment horizontal="right"/>
    </xf>
    <xf numFmtId="9" fontId="0" fillId="0" borderId="0" xfId="0" applyNumberFormat="1" applyFill="1" applyBorder="1" applyAlignment="1">
      <alignment horizontal="right"/>
    </xf>
    <xf numFmtId="165" fontId="3" fillId="0" borderId="0" xfId="0" applyNumberFormat="1" applyFont="1" applyBorder="1"/>
    <xf numFmtId="166" fontId="0" fillId="0" borderId="0" xfId="0" applyNumberFormat="1"/>
    <xf numFmtId="165" fontId="0" fillId="0" borderId="3" xfId="0" applyNumberFormat="1" applyFill="1" applyBorder="1" applyAlignment="1">
      <alignment horizontal="right"/>
    </xf>
    <xf numFmtId="166" fontId="0" fillId="0" borderId="0" xfId="1" applyNumberFormat="1" applyFont="1" applyFill="1" applyBorder="1" applyAlignment="1">
      <alignment horizontal="right"/>
    </xf>
    <xf numFmtId="3" fontId="0" fillId="0" borderId="0" xfId="0" applyNumberFormat="1" applyFill="1" applyBorder="1" applyAlignment="1">
      <alignment horizontal="right"/>
    </xf>
    <xf numFmtId="0" fontId="0" fillId="0" borderId="0" xfId="0" applyFill="1" applyBorder="1" applyAlignment="1">
      <alignment horizontal="left"/>
    </xf>
    <xf numFmtId="165" fontId="1" fillId="0" borderId="3" xfId="0" applyNumberFormat="1" applyFont="1" applyFill="1" applyBorder="1"/>
    <xf numFmtId="0" fontId="0" fillId="0" borderId="3" xfId="0" applyBorder="1" applyAlignment="1"/>
    <xf numFmtId="0" fontId="0" fillId="0" borderId="0" xfId="0" applyBorder="1" applyAlignment="1"/>
    <xf numFmtId="165" fontId="0" fillId="7" borderId="0" xfId="1" applyNumberFormat="1" applyFont="1" applyFill="1"/>
    <xf numFmtId="165" fontId="0" fillId="8" borderId="0" xfId="1" applyNumberFormat="1" applyFont="1" applyFill="1"/>
    <xf numFmtId="0" fontId="1" fillId="0" borderId="0" xfId="0" applyFont="1" applyAlignment="1">
      <alignment horizontal="left"/>
    </xf>
    <xf numFmtId="0" fontId="0" fillId="0" borderId="5" xfId="0" applyBorder="1"/>
    <xf numFmtId="0" fontId="0" fillId="0" borderId="3" xfId="0" applyBorder="1"/>
    <xf numFmtId="166" fontId="0" fillId="0" borderId="4" xfId="0" applyNumberFormat="1" applyBorder="1"/>
    <xf numFmtId="0" fontId="1" fillId="0" borderId="0" xfId="0" applyFont="1" applyBorder="1" applyAlignment="1">
      <alignment horizontal="left"/>
    </xf>
    <xf numFmtId="165" fontId="0" fillId="0" borderId="0" xfId="1" applyNumberFormat="1" applyFont="1" applyFill="1"/>
    <xf numFmtId="165" fontId="0" fillId="5" borderId="0" xfId="1" applyNumberFormat="1" applyFont="1" applyFill="1"/>
    <xf numFmtId="165" fontId="0" fillId="7" borderId="0" xfId="1" applyNumberFormat="1" applyFont="1" applyFill="1" applyAlignment="1">
      <alignment horizontal="center" vertical="center"/>
    </xf>
    <xf numFmtId="165" fontId="0" fillId="9" borderId="0" xfId="0" applyNumberFormat="1" applyFill="1" applyBorder="1" applyAlignment="1">
      <alignment horizontal="center"/>
    </xf>
    <xf numFmtId="166" fontId="3" fillId="9" borderId="0" xfId="1" applyNumberFormat="1" applyFont="1" applyFill="1"/>
    <xf numFmtId="0" fontId="9" fillId="0" borderId="0" xfId="0" applyFont="1"/>
    <xf numFmtId="0" fontId="10" fillId="0" borderId="0" xfId="0" applyFont="1" applyBorder="1"/>
    <xf numFmtId="0" fontId="9" fillId="0" borderId="0" xfId="0" applyFont="1" applyBorder="1"/>
    <xf numFmtId="165" fontId="9" fillId="0" borderId="0" xfId="0" applyNumberFormat="1" applyFont="1"/>
    <xf numFmtId="0" fontId="9" fillId="0" borderId="0" xfId="0" applyFont="1" applyAlignment="1">
      <alignment horizontal="right"/>
    </xf>
    <xf numFmtId="9" fontId="9" fillId="0" borderId="1" xfId="0" applyNumberFormat="1" applyFont="1" applyBorder="1"/>
    <xf numFmtId="0" fontId="9" fillId="0" borderId="0" xfId="0" applyFont="1" applyBorder="1" applyAlignment="1">
      <alignment horizontal="right"/>
    </xf>
    <xf numFmtId="165" fontId="10" fillId="0" borderId="0" xfId="0" applyNumberFormat="1" applyFont="1" applyBorder="1"/>
    <xf numFmtId="165" fontId="10" fillId="0" borderId="0" xfId="0" applyNumberFormat="1" applyFont="1" applyBorder="1" applyAlignment="1">
      <alignment horizontal="right"/>
    </xf>
    <xf numFmtId="165" fontId="1" fillId="9" borderId="0" xfId="0" applyNumberFormat="1" applyFont="1" applyFill="1" applyBorder="1" applyAlignment="1">
      <alignment horizontal="center"/>
    </xf>
    <xf numFmtId="165" fontId="9" fillId="0" borderId="0" xfId="1" applyNumberFormat="1" applyFont="1"/>
    <xf numFmtId="0" fontId="10" fillId="0" borderId="0" xfId="0" applyFont="1"/>
    <xf numFmtId="166" fontId="9" fillId="0" borderId="0" xfId="0" applyNumberFormat="1" applyFont="1"/>
    <xf numFmtId="0" fontId="11" fillId="0" borderId="0" xfId="0" applyFont="1"/>
    <xf numFmtId="0" fontId="12" fillId="0" borderId="0" xfId="0" applyFont="1"/>
    <xf numFmtId="165" fontId="12" fillId="0" borderId="0" xfId="1" applyNumberFormat="1" applyFont="1"/>
    <xf numFmtId="166" fontId="12" fillId="0" borderId="0" xfId="1" applyNumberFormat="1" applyFont="1"/>
    <xf numFmtId="0" fontId="1" fillId="2" borderId="2" xfId="0" applyFont="1" applyFill="1" applyBorder="1" applyAlignment="1">
      <alignment horizontal="center"/>
    </xf>
    <xf numFmtId="0" fontId="3" fillId="0" borderId="3" xfId="0" applyFont="1" applyBorder="1" applyAlignment="1">
      <alignment horizontal="right"/>
    </xf>
    <xf numFmtId="0" fontId="1" fillId="6" borderId="2" xfId="0" applyFont="1" applyFill="1" applyBorder="1" applyAlignment="1">
      <alignment horizontal="center"/>
    </xf>
    <xf numFmtId="0" fontId="0" fillId="6" borderId="2" xfId="0" applyFill="1" applyBorder="1" applyAlignment="1">
      <alignment horizontal="center"/>
    </xf>
    <xf numFmtId="0" fontId="0" fillId="0" borderId="0" xfId="0" applyAlignment="1">
      <alignment horizontal="center"/>
    </xf>
    <xf numFmtId="0" fontId="0" fillId="0" borderId="0" xfId="0" applyAlignment="1">
      <alignment horizontal="right"/>
    </xf>
    <xf numFmtId="0" fontId="1" fillId="3" borderId="15" xfId="0" applyFont="1" applyFill="1" applyBorder="1" applyAlignment="1">
      <alignment horizontal="right"/>
    </xf>
    <xf numFmtId="0" fontId="1" fillId="3" borderId="16" xfId="0" applyFont="1" applyFill="1" applyBorder="1" applyAlignment="1">
      <alignment horizontal="right"/>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5" borderId="15" xfId="0" applyFont="1" applyFill="1" applyBorder="1" applyAlignment="1">
      <alignment horizontal="right"/>
    </xf>
    <xf numFmtId="0" fontId="1" fillId="5" borderId="16" xfId="0" applyFont="1" applyFill="1" applyBorder="1" applyAlignment="1">
      <alignment horizontal="right"/>
    </xf>
    <xf numFmtId="0" fontId="0" fillId="0" borderId="17" xfId="0" applyBorder="1" applyAlignment="1"/>
    <xf numFmtId="3" fontId="0" fillId="0" borderId="7" xfId="0" applyNumberFormat="1" applyBorder="1" applyAlignment="1">
      <alignment horizontal="right" vertical="center"/>
    </xf>
    <xf numFmtId="0" fontId="0" fillId="0" borderId="9" xfId="0" applyBorder="1" applyAlignment="1">
      <alignment horizontal="right" vertical="center"/>
    </xf>
    <xf numFmtId="165" fontId="0" fillId="0" borderId="7" xfId="1" applyNumberFormat="1" applyFont="1" applyBorder="1" applyAlignment="1">
      <alignment horizontal="right" vertical="center"/>
    </xf>
    <xf numFmtId="165" fontId="0" fillId="0" borderId="9" xfId="1" applyNumberFormat="1" applyFont="1" applyBorder="1" applyAlignment="1">
      <alignment horizontal="right" vertical="center"/>
    </xf>
    <xf numFmtId="165" fontId="0" fillId="0" borderId="5" xfId="1" applyNumberFormat="1" applyFont="1" applyBorder="1" applyAlignment="1">
      <alignment horizontal="right" vertical="center"/>
    </xf>
    <xf numFmtId="0" fontId="1" fillId="3" borderId="2" xfId="0" applyFont="1" applyFill="1" applyBorder="1" applyAlignment="1">
      <alignment horizontal="center"/>
    </xf>
    <xf numFmtId="0" fontId="7" fillId="3" borderId="2" xfId="0" applyFont="1" applyFill="1" applyBorder="1" applyAlignment="1">
      <alignment horizontal="center"/>
    </xf>
    <xf numFmtId="3" fontId="0" fillId="0" borderId="5" xfId="0" applyNumberFormat="1" applyBorder="1" applyAlignment="1">
      <alignment horizontal="right" vertical="center"/>
    </xf>
    <xf numFmtId="0" fontId="0" fillId="0" borderId="7" xfId="0" applyBorder="1" applyAlignment="1">
      <alignment horizontal="right" vertical="center"/>
    </xf>
    <xf numFmtId="0" fontId="0" fillId="0" borderId="13" xfId="0" applyBorder="1" applyAlignment="1">
      <alignment horizontal="right" vertical="center"/>
    </xf>
    <xf numFmtId="1" fontId="0" fillId="0" borderId="5" xfId="0" applyNumberFormat="1" applyBorder="1" applyAlignment="1">
      <alignment horizontal="right" vertical="center"/>
    </xf>
    <xf numFmtId="0" fontId="1" fillId="0" borderId="0" xfId="0" applyFont="1" applyAlignment="1">
      <alignment horizontal="right" vertical="center" wrapText="1"/>
    </xf>
    <xf numFmtId="0" fontId="0" fillId="0" borderId="0" xfId="0" applyAlignment="1">
      <alignment horizontal="right" vertical="center" wrapText="1"/>
    </xf>
    <xf numFmtId="0" fontId="3" fillId="0" borderId="0" xfId="0" applyFont="1" applyBorder="1" applyAlignment="1">
      <alignment horizontal="right"/>
    </xf>
    <xf numFmtId="0" fontId="1" fillId="0" borderId="0" xfId="0" applyFont="1" applyAlignment="1">
      <alignment horizontal="right" vertical="center"/>
    </xf>
    <xf numFmtId="0" fontId="1" fillId="5" borderId="2" xfId="0" applyFont="1" applyFill="1" applyBorder="1" applyAlignment="1">
      <alignment horizontal="center"/>
    </xf>
    <xf numFmtId="0" fontId="0" fillId="0" borderId="3" xfId="0" applyBorder="1" applyAlignment="1">
      <alignment horizontal="right"/>
    </xf>
    <xf numFmtId="0" fontId="0" fillId="0" borderId="0" xfId="0"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361950</xdr:colOff>
      <xdr:row>163</xdr:row>
      <xdr:rowOff>0</xdr:rowOff>
    </xdr:from>
    <xdr:to>
      <xdr:col>3</xdr:col>
      <xdr:colOff>9525</xdr:colOff>
      <xdr:row>163</xdr:row>
      <xdr:rowOff>171450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11234889900" y="10458450"/>
          <a:ext cx="47625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790575</xdr:colOff>
      <xdr:row>162</xdr:row>
      <xdr:rowOff>171450</xdr:rowOff>
    </xdr:from>
    <xdr:to>
      <xdr:col>4</xdr:col>
      <xdr:colOff>180975</xdr:colOff>
      <xdr:row>163</xdr:row>
      <xdr:rowOff>161925</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11233689750" y="10448925"/>
          <a:ext cx="41910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361950</xdr:colOff>
      <xdr:row>53</xdr:row>
      <xdr:rowOff>0</xdr:rowOff>
    </xdr:from>
    <xdr:to>
      <xdr:col>3</xdr:col>
      <xdr:colOff>9525</xdr:colOff>
      <xdr:row>53</xdr:row>
      <xdr:rowOff>171450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11234889900" y="11410950"/>
          <a:ext cx="47625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790575</xdr:colOff>
      <xdr:row>52</xdr:row>
      <xdr:rowOff>171450</xdr:rowOff>
    </xdr:from>
    <xdr:to>
      <xdr:col>4</xdr:col>
      <xdr:colOff>180975</xdr:colOff>
      <xdr:row>53</xdr:row>
      <xdr:rowOff>161925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H="1">
          <a:off x="11233689750" y="11401425"/>
          <a:ext cx="419100" cy="171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359020</xdr:colOff>
      <xdr:row>93</xdr:row>
      <xdr:rowOff>175846</xdr:rowOff>
    </xdr:from>
    <xdr:to>
      <xdr:col>6</xdr:col>
      <xdr:colOff>490904</xdr:colOff>
      <xdr:row>96</xdr:row>
      <xdr:rowOff>7327</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11279724808" y="19687442"/>
          <a:ext cx="131884" cy="381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r" rtl="1"/>
          <a:endParaRPr lang="he-I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3"/>
  <sheetViews>
    <sheetView rightToLeft="1" tabSelected="1" view="pageBreakPreview" topLeftCell="A148" zoomScale="120" zoomScaleNormal="130" zoomScaleSheetLayoutView="120" workbookViewId="0">
      <selection activeCell="E161" sqref="E161"/>
    </sheetView>
  </sheetViews>
  <sheetFormatPr defaultRowHeight="14.25" x14ac:dyDescent="0.2"/>
  <cols>
    <col min="1" max="1" width="11.75" customWidth="1"/>
    <col min="2" max="2" width="11" customWidth="1"/>
    <col min="3" max="3" width="11.75" bestFit="1" customWidth="1"/>
    <col min="4" max="4" width="15.75" customWidth="1"/>
    <col min="5" max="5" width="12.5" bestFit="1" customWidth="1"/>
    <col min="6" max="6" width="10.625" customWidth="1"/>
    <col min="7" max="7" width="11.375" customWidth="1"/>
    <col min="8" max="8" width="9.875" bestFit="1" customWidth="1"/>
    <col min="9" max="9" width="8.25" customWidth="1"/>
  </cols>
  <sheetData>
    <row r="1" spans="1:9" ht="15" x14ac:dyDescent="0.25">
      <c r="A1" s="105" t="s">
        <v>2</v>
      </c>
      <c r="B1" s="105"/>
      <c r="C1" s="105"/>
      <c r="D1" s="105"/>
      <c r="E1" s="105"/>
      <c r="F1" s="105"/>
      <c r="G1" s="105"/>
      <c r="H1" s="105"/>
      <c r="I1" s="105"/>
    </row>
    <row r="3" spans="1:9" ht="15" x14ac:dyDescent="0.25">
      <c r="A3" s="107" t="s">
        <v>27</v>
      </c>
      <c r="B3" s="108"/>
      <c r="C3" s="108"/>
      <c r="D3" s="108"/>
      <c r="E3" s="108"/>
      <c r="F3" s="108"/>
      <c r="G3" s="108"/>
      <c r="H3" s="108"/>
      <c r="I3" s="108"/>
    </row>
    <row r="4" spans="1:9" x14ac:dyDescent="0.2">
      <c r="A4" s="60" t="s">
        <v>51</v>
      </c>
    </row>
    <row r="5" spans="1:9" x14ac:dyDescent="0.2">
      <c r="A5" s="109" t="s">
        <v>28</v>
      </c>
      <c r="B5" s="109"/>
      <c r="C5" s="13">
        <f>85000/100000</f>
        <v>0.85</v>
      </c>
      <c r="D5" s="133" t="s">
        <v>127</v>
      </c>
      <c r="E5" s="133"/>
      <c r="F5" s="133"/>
      <c r="G5" s="133"/>
      <c r="H5" s="133"/>
      <c r="I5" s="133"/>
    </row>
    <row r="6" spans="1:9" x14ac:dyDescent="0.2">
      <c r="A6" s="109" t="s">
        <v>29</v>
      </c>
      <c r="B6" s="109"/>
      <c r="C6" s="13">
        <f>85000/(100000+6250)</f>
        <v>0.8</v>
      </c>
      <c r="D6" s="133"/>
      <c r="E6" s="133"/>
      <c r="F6" s="133"/>
      <c r="G6" s="133"/>
      <c r="H6" s="133"/>
      <c r="I6" s="133"/>
    </row>
    <row r="7" spans="1:9" x14ac:dyDescent="0.2">
      <c r="A7" s="49"/>
      <c r="B7" s="49"/>
      <c r="C7" s="13"/>
      <c r="D7" s="51"/>
      <c r="E7" s="51"/>
      <c r="F7" s="51"/>
      <c r="G7" s="51"/>
      <c r="H7" s="51"/>
      <c r="I7" s="51"/>
    </row>
    <row r="8" spans="1:9" ht="66" customHeight="1" x14ac:dyDescent="0.2">
      <c r="A8" s="130" t="s">
        <v>128</v>
      </c>
      <c r="B8" s="133"/>
      <c r="C8" s="133"/>
      <c r="D8" s="133"/>
      <c r="E8" s="133"/>
      <c r="F8" s="133"/>
      <c r="G8" s="133"/>
      <c r="H8" s="133"/>
      <c r="I8" s="133"/>
    </row>
    <row r="10" spans="1:9" ht="15" x14ac:dyDescent="0.25">
      <c r="A10" s="107" t="s">
        <v>36</v>
      </c>
      <c r="B10" s="108"/>
      <c r="C10" s="108"/>
      <c r="D10" s="108"/>
      <c r="E10" s="108"/>
      <c r="F10" s="108"/>
      <c r="G10" s="108"/>
      <c r="H10" s="108"/>
      <c r="I10" s="108"/>
    </row>
    <row r="11" spans="1:9" ht="15" x14ac:dyDescent="0.25">
      <c r="A11" s="27" t="s">
        <v>44</v>
      </c>
      <c r="B11" s="27"/>
      <c r="C11" s="27"/>
      <c r="D11" s="15"/>
      <c r="E11" s="15"/>
    </row>
    <row r="12" spans="1:9" ht="15" x14ac:dyDescent="0.25">
      <c r="A12" s="27"/>
      <c r="B12" s="27"/>
      <c r="C12" s="27"/>
      <c r="D12" s="15"/>
      <c r="E12" s="15"/>
    </row>
    <row r="13" spans="1:9" ht="15" x14ac:dyDescent="0.25">
      <c r="A13" s="52" t="s">
        <v>52</v>
      </c>
      <c r="B13" s="27"/>
      <c r="C13" s="27"/>
      <c r="D13" s="36">
        <f>E76</f>
        <v>20000</v>
      </c>
      <c r="E13" s="15"/>
      <c r="I13" t="s">
        <v>63</v>
      </c>
    </row>
    <row r="14" spans="1:9" ht="15" x14ac:dyDescent="0.25">
      <c r="A14" s="53" t="s">
        <v>53</v>
      </c>
      <c r="B14" s="27"/>
      <c r="C14" s="27"/>
      <c r="D14" s="36">
        <f>D13*C5</f>
        <v>17000</v>
      </c>
      <c r="E14" s="15"/>
      <c r="I14" t="s">
        <v>124</v>
      </c>
    </row>
    <row r="15" spans="1:9" ht="15" x14ac:dyDescent="0.25">
      <c r="A15" s="53" t="s">
        <v>54</v>
      </c>
      <c r="B15" s="27"/>
      <c r="C15" s="27"/>
      <c r="D15" s="87">
        <f>D13*(1-C5)</f>
        <v>3000.0000000000005</v>
      </c>
      <c r="E15" s="15"/>
      <c r="I15" t="s">
        <v>123</v>
      </c>
    </row>
    <row r="16" spans="1:9" ht="15" x14ac:dyDescent="0.25">
      <c r="A16" s="52"/>
      <c r="B16" s="27"/>
      <c r="C16" s="27"/>
      <c r="D16" s="36"/>
      <c r="E16" s="15"/>
    </row>
    <row r="17" spans="1:9" ht="15" x14ac:dyDescent="0.25">
      <c r="A17" s="50" t="s">
        <v>64</v>
      </c>
      <c r="B17" s="50"/>
      <c r="C17" s="27"/>
      <c r="D17" s="36">
        <f>E78*C5</f>
        <v>111363.43785483448</v>
      </c>
      <c r="E17" s="15"/>
      <c r="I17" t="s">
        <v>62</v>
      </c>
    </row>
    <row r="18" spans="1:9" ht="15" x14ac:dyDescent="0.25">
      <c r="A18" s="50" t="s">
        <v>65</v>
      </c>
      <c r="B18" s="50"/>
      <c r="C18" s="27"/>
      <c r="D18" s="87">
        <f>E78*(1-C5)</f>
        <v>19652.371386147264</v>
      </c>
      <c r="E18" s="15"/>
      <c r="I18" t="s">
        <v>61</v>
      </c>
    </row>
    <row r="19" spans="1:9" ht="15" x14ac:dyDescent="0.25">
      <c r="A19" s="54" t="s">
        <v>66</v>
      </c>
      <c r="B19" s="50"/>
      <c r="C19" s="27"/>
      <c r="D19" s="36">
        <f>E78</f>
        <v>131015.80924098175</v>
      </c>
      <c r="E19" s="15"/>
      <c r="I19" t="s">
        <v>60</v>
      </c>
    </row>
    <row r="20" spans="1:9" ht="15" x14ac:dyDescent="0.25">
      <c r="A20" s="27"/>
      <c r="B20" s="27"/>
      <c r="C20" s="27"/>
      <c r="D20" s="15"/>
      <c r="E20" s="15"/>
    </row>
    <row r="21" spans="1:9" ht="15" x14ac:dyDescent="0.25">
      <c r="A21" s="107" t="s">
        <v>37</v>
      </c>
      <c r="B21" s="108"/>
      <c r="C21" s="108"/>
      <c r="D21" s="108"/>
      <c r="E21" s="108"/>
      <c r="F21" s="108"/>
      <c r="G21" s="108"/>
      <c r="H21" s="108"/>
      <c r="I21" s="108"/>
    </row>
    <row r="22" spans="1:9" ht="15" x14ac:dyDescent="0.25">
      <c r="A22" s="60" t="s">
        <v>75</v>
      </c>
      <c r="C22" s="28"/>
      <c r="D22" s="46"/>
      <c r="E22" s="60" t="s">
        <v>83</v>
      </c>
      <c r="F22" s="46"/>
      <c r="G22" s="46"/>
      <c r="H22" s="46"/>
      <c r="I22" s="46"/>
    </row>
    <row r="23" spans="1:9" ht="15" x14ac:dyDescent="0.25">
      <c r="A23" t="s">
        <v>76</v>
      </c>
      <c r="C23" s="44">
        <f>E66</f>
        <v>700000</v>
      </c>
      <c r="D23" s="46"/>
      <c r="E23" s="64" t="s">
        <v>86</v>
      </c>
      <c r="F23" s="46"/>
      <c r="G23" s="65">
        <f>C27</f>
        <v>677067.67014565179</v>
      </c>
      <c r="H23" s="45" t="s">
        <v>107</v>
      </c>
      <c r="I23" s="46"/>
    </row>
    <row r="24" spans="1:9" x14ac:dyDescent="0.2">
      <c r="A24" t="s">
        <v>77</v>
      </c>
      <c r="C24" s="44">
        <f>D43</f>
        <v>88083.479386633451</v>
      </c>
      <c r="D24" s="46"/>
      <c r="E24" t="s">
        <v>87</v>
      </c>
      <c r="G24" s="68">
        <f>D128+D129</f>
        <v>12499.999999999996</v>
      </c>
      <c r="H24" s="46"/>
      <c r="I24" s="46" t="s">
        <v>88</v>
      </c>
    </row>
    <row r="25" spans="1:9" x14ac:dyDescent="0.2">
      <c r="A25" t="s">
        <v>78</v>
      </c>
      <c r="C25" s="44">
        <f>E76</f>
        <v>20000</v>
      </c>
      <c r="D25" s="46"/>
      <c r="E25" t="s">
        <v>81</v>
      </c>
      <c r="F25" s="46"/>
      <c r="G25" s="66">
        <f>1-C6</f>
        <v>0.19999999999999996</v>
      </c>
      <c r="H25" s="46"/>
      <c r="I25" s="46"/>
    </row>
    <row r="26" spans="1:9" x14ac:dyDescent="0.2">
      <c r="A26" t="s">
        <v>79</v>
      </c>
      <c r="C26" s="44">
        <f>-E78</f>
        <v>-131015.80924098175</v>
      </c>
      <c r="D26" s="46"/>
      <c r="E26" s="64" t="s">
        <v>84</v>
      </c>
      <c r="F26" s="46"/>
      <c r="G26" s="62">
        <f>(G23+G24)*G25</f>
        <v>137913.53402913033</v>
      </c>
      <c r="H26" s="46"/>
      <c r="I26" s="46"/>
    </row>
    <row r="27" spans="1:9" x14ac:dyDescent="0.2">
      <c r="A27" t="s">
        <v>80</v>
      </c>
      <c r="C27" s="62">
        <f>SUM(C23:C26)</f>
        <v>677067.67014565179</v>
      </c>
      <c r="D27" s="46"/>
      <c r="E27" s="64" t="s">
        <v>85</v>
      </c>
      <c r="F27" s="46"/>
      <c r="G27" s="65">
        <f>D127</f>
        <v>26861.225422953812</v>
      </c>
      <c r="H27" s="46"/>
      <c r="I27" s="46"/>
    </row>
    <row r="28" spans="1:9" x14ac:dyDescent="0.2">
      <c r="A28" t="s">
        <v>81</v>
      </c>
      <c r="C28" s="63">
        <f>1-C5</f>
        <v>0.15000000000000002</v>
      </c>
      <c r="D28" s="46"/>
      <c r="E28" s="64" t="s">
        <v>89</v>
      </c>
      <c r="F28" s="46"/>
      <c r="G28" s="69">
        <f>G26+G27</f>
        <v>164774.75945208414</v>
      </c>
      <c r="H28" s="46"/>
      <c r="I28" s="46"/>
    </row>
    <row r="29" spans="1:9" x14ac:dyDescent="0.2">
      <c r="A29" t="s">
        <v>82</v>
      </c>
      <c r="C29" s="62">
        <f>C27*C28</f>
        <v>101560.15052184778</v>
      </c>
      <c r="D29" s="46"/>
      <c r="E29" s="64"/>
      <c r="F29" s="46"/>
      <c r="G29" s="65"/>
      <c r="H29" s="46"/>
      <c r="I29" s="46"/>
    </row>
    <row r="30" spans="1:9" x14ac:dyDescent="0.2">
      <c r="C30" s="67"/>
      <c r="D30" s="46"/>
      <c r="E30" s="64"/>
      <c r="F30" s="46"/>
      <c r="G30" s="64"/>
      <c r="H30" s="46"/>
      <c r="I30" s="46"/>
    </row>
    <row r="31" spans="1:9" x14ac:dyDescent="0.2">
      <c r="A31" s="27" t="s">
        <v>142</v>
      </c>
      <c r="C31" s="67"/>
      <c r="D31" s="46"/>
      <c r="E31" s="64"/>
      <c r="F31" s="46"/>
      <c r="G31" s="64"/>
      <c r="H31" s="46"/>
      <c r="I31" s="46"/>
    </row>
    <row r="32" spans="1:9" ht="15" x14ac:dyDescent="0.25">
      <c r="A32" s="50" t="s">
        <v>52</v>
      </c>
      <c r="B32" s="50"/>
      <c r="C32" s="67"/>
      <c r="D32" s="71">
        <f>D125</f>
        <v>134000</v>
      </c>
      <c r="E32" s="64"/>
      <c r="F32" s="45" t="s">
        <v>94</v>
      </c>
      <c r="G32" s="64"/>
      <c r="H32" s="46"/>
      <c r="I32" s="46"/>
    </row>
    <row r="33" spans="1:9" ht="15" x14ac:dyDescent="0.25">
      <c r="A33" s="50" t="s">
        <v>90</v>
      </c>
      <c r="B33" s="50"/>
      <c r="C33" s="67"/>
      <c r="D33" s="61">
        <f>-(D32-D34-D35-D36)</f>
        <v>29404.173969331627</v>
      </c>
      <c r="E33" s="64"/>
      <c r="F33" s="45" t="s">
        <v>73</v>
      </c>
      <c r="G33" s="64"/>
      <c r="H33" s="46"/>
      <c r="I33" s="46"/>
    </row>
    <row r="34" spans="1:9" ht="15" x14ac:dyDescent="0.25">
      <c r="A34" s="50" t="s">
        <v>69</v>
      </c>
      <c r="B34" s="50"/>
      <c r="C34" s="67"/>
      <c r="D34" s="61">
        <f>D126</f>
        <v>94638.774577046192</v>
      </c>
      <c r="E34" s="64"/>
      <c r="F34" s="45" t="s">
        <v>95</v>
      </c>
      <c r="G34" s="64"/>
      <c r="H34" s="46"/>
      <c r="I34" s="46"/>
    </row>
    <row r="35" spans="1:9" x14ac:dyDescent="0.2">
      <c r="A35" s="50" t="s">
        <v>54</v>
      </c>
      <c r="B35" s="50"/>
      <c r="C35" s="67"/>
      <c r="D35" s="86">
        <f>G28-C29</f>
        <v>63214.608930236354</v>
      </c>
      <c r="E35" s="64"/>
      <c r="F35" s="46"/>
      <c r="G35" s="64"/>
      <c r="H35" s="46"/>
      <c r="I35" s="72" t="s">
        <v>96</v>
      </c>
    </row>
    <row r="36" spans="1:9" x14ac:dyDescent="0.2">
      <c r="A36" s="50" t="s">
        <v>91</v>
      </c>
      <c r="B36" s="50"/>
      <c r="C36" s="67"/>
      <c r="D36" s="70">
        <f>(E78-E76)*(C5-C6)</f>
        <v>5550.7904620490799</v>
      </c>
      <c r="E36" s="64"/>
      <c r="F36" s="46"/>
      <c r="G36" s="64"/>
      <c r="H36" s="46"/>
      <c r="I36" s="72" t="s">
        <v>97</v>
      </c>
    </row>
    <row r="37" spans="1:9" x14ac:dyDescent="0.2">
      <c r="C37" s="67"/>
      <c r="D37" s="46"/>
      <c r="E37" s="64"/>
      <c r="F37" s="46"/>
      <c r="G37" s="64"/>
      <c r="H37" s="46"/>
      <c r="I37" s="46"/>
    </row>
    <row r="38" spans="1:9" ht="15" x14ac:dyDescent="0.25">
      <c r="A38" s="107" t="s">
        <v>126</v>
      </c>
      <c r="B38" s="108"/>
      <c r="C38" s="108"/>
      <c r="D38" s="108"/>
      <c r="E38" s="108"/>
      <c r="F38" s="108"/>
      <c r="G38" s="108"/>
      <c r="H38" s="108"/>
      <c r="I38" s="108"/>
    </row>
    <row r="39" spans="1:9" ht="15" x14ac:dyDescent="0.25">
      <c r="A39" s="134" t="s">
        <v>46</v>
      </c>
      <c r="B39" s="134"/>
      <c r="C39" s="134"/>
      <c r="D39" s="134"/>
      <c r="E39" s="134"/>
    </row>
    <row r="40" spans="1:9" x14ac:dyDescent="0.2">
      <c r="A40" s="136" t="s">
        <v>25</v>
      </c>
      <c r="B40" s="136"/>
      <c r="C40" s="136"/>
      <c r="D40" s="19">
        <f>200000*0.5</f>
        <v>100000</v>
      </c>
      <c r="I40" s="75" t="s">
        <v>34</v>
      </c>
    </row>
    <row r="41" spans="1:9" ht="15" x14ac:dyDescent="0.25">
      <c r="A41" s="110" t="s">
        <v>102</v>
      </c>
      <c r="B41" s="110"/>
      <c r="C41" s="110"/>
      <c r="D41" s="10">
        <f>C86</f>
        <v>-4507.9976345785717</v>
      </c>
      <c r="G41" s="1" t="s">
        <v>98</v>
      </c>
    </row>
    <row r="42" spans="1:9" ht="15" x14ac:dyDescent="0.25">
      <c r="A42" s="110" t="s">
        <v>103</v>
      </c>
      <c r="B42" s="110"/>
      <c r="C42" s="110"/>
      <c r="D42" s="24">
        <f>C102</f>
        <v>-7408.5229787879789</v>
      </c>
      <c r="G42" s="1" t="s">
        <v>99</v>
      </c>
    </row>
    <row r="43" spans="1:9" ht="15" x14ac:dyDescent="0.25">
      <c r="A43" s="110" t="s">
        <v>59</v>
      </c>
      <c r="B43" s="110"/>
      <c r="C43" s="110"/>
      <c r="D43" s="14">
        <f>SUM(D40:D42)</f>
        <v>88083.479386633451</v>
      </c>
      <c r="G43" s="1"/>
    </row>
    <row r="44" spans="1:9" ht="15" x14ac:dyDescent="0.25">
      <c r="A44" s="110" t="s">
        <v>26</v>
      </c>
      <c r="B44" s="110"/>
      <c r="C44" s="110"/>
      <c r="D44" s="9">
        <f>1-C5</f>
        <v>0.15000000000000002</v>
      </c>
      <c r="G44" s="1"/>
    </row>
    <row r="45" spans="1:9" ht="15" x14ac:dyDescent="0.25">
      <c r="A45" s="110" t="s">
        <v>48</v>
      </c>
      <c r="B45" s="110"/>
      <c r="C45" s="110"/>
      <c r="D45" s="73">
        <f>D43*D44</f>
        <v>13212.52190799502</v>
      </c>
      <c r="G45" s="1"/>
    </row>
    <row r="46" spans="1:9" ht="15" x14ac:dyDescent="0.25">
      <c r="G46" s="1"/>
    </row>
    <row r="47" spans="1:9" ht="15" x14ac:dyDescent="0.25">
      <c r="A47" s="134" t="s">
        <v>49</v>
      </c>
      <c r="B47" s="134"/>
      <c r="C47" s="134"/>
      <c r="D47" s="134"/>
      <c r="E47" s="134"/>
      <c r="F47" s="16"/>
      <c r="G47" s="1"/>
      <c r="I47" s="16"/>
    </row>
    <row r="48" spans="1:9" ht="15" x14ac:dyDescent="0.25">
      <c r="A48" s="135" t="s">
        <v>25</v>
      </c>
      <c r="B48" s="135"/>
      <c r="C48" s="135"/>
      <c r="D48" s="10">
        <f>200000*0.5</f>
        <v>100000</v>
      </c>
      <c r="E48" s="74"/>
      <c r="F48" s="75"/>
      <c r="G48" s="1"/>
      <c r="I48" s="75" t="s">
        <v>34</v>
      </c>
    </row>
    <row r="49" spans="1:9" ht="15" x14ac:dyDescent="0.25">
      <c r="A49" s="110" t="s">
        <v>102</v>
      </c>
      <c r="B49" s="110"/>
      <c r="C49" s="110"/>
      <c r="D49" s="10">
        <f>C87</f>
        <v>-4663.1090122901524</v>
      </c>
      <c r="G49" s="1" t="s">
        <v>98</v>
      </c>
    </row>
    <row r="50" spans="1:9" ht="15" x14ac:dyDescent="0.25">
      <c r="A50" s="110" t="s">
        <v>103</v>
      </c>
      <c r="B50" s="110"/>
      <c r="C50" s="110"/>
      <c r="D50" s="19">
        <f>C103</f>
        <v>-7591.4770212120211</v>
      </c>
      <c r="G50" s="1" t="s">
        <v>99</v>
      </c>
    </row>
    <row r="51" spans="1:9" ht="15" x14ac:dyDescent="0.25">
      <c r="A51" s="110" t="s">
        <v>104</v>
      </c>
      <c r="B51" s="110"/>
      <c r="C51" s="110"/>
      <c r="D51" s="11">
        <f>C135</f>
        <v>-3712.7249830548935</v>
      </c>
      <c r="G51" s="1" t="s">
        <v>95</v>
      </c>
    </row>
    <row r="52" spans="1:9" ht="15" x14ac:dyDescent="0.25">
      <c r="A52" s="110" t="s">
        <v>105</v>
      </c>
      <c r="B52" s="110"/>
      <c r="C52" s="110"/>
      <c r="D52" s="29">
        <f>C150</f>
        <v>-2934.7692337318599</v>
      </c>
      <c r="G52" s="1" t="s">
        <v>100</v>
      </c>
    </row>
    <row r="53" spans="1:9" ht="15" x14ac:dyDescent="0.25">
      <c r="A53" s="110" t="s">
        <v>59</v>
      </c>
      <c r="B53" s="110"/>
      <c r="C53" s="110"/>
      <c r="D53" s="28">
        <f>SUM(D48:D52)</f>
        <v>81097.919749711073</v>
      </c>
    </row>
    <row r="54" spans="1:9" x14ac:dyDescent="0.2">
      <c r="A54" s="16"/>
      <c r="B54" s="16"/>
      <c r="C54" s="16"/>
      <c r="D54" s="22"/>
    </row>
    <row r="55" spans="1:9" ht="15" x14ac:dyDescent="0.25">
      <c r="A55" s="88"/>
      <c r="B55" s="88"/>
      <c r="C55" s="89" t="s">
        <v>30</v>
      </c>
      <c r="D55" s="90"/>
      <c r="E55" s="89" t="s">
        <v>31</v>
      </c>
      <c r="F55" s="90"/>
    </row>
    <row r="56" spans="1:9" x14ac:dyDescent="0.2">
      <c r="A56" s="88"/>
      <c r="B56" s="88"/>
      <c r="C56" s="91">
        <f>100000*10%*6/12</f>
        <v>5000</v>
      </c>
      <c r="D56" s="92" t="s">
        <v>33</v>
      </c>
      <c r="E56" s="91">
        <f>D53-C56</f>
        <v>76097.919749711073</v>
      </c>
      <c r="F56" s="88"/>
    </row>
    <row r="57" spans="1:9" x14ac:dyDescent="0.2">
      <c r="A57" s="88" t="s">
        <v>26</v>
      </c>
      <c r="B57" s="88"/>
      <c r="C57" s="93">
        <v>1</v>
      </c>
      <c r="D57" s="88"/>
      <c r="E57" s="93">
        <f>1-C6</f>
        <v>0.19999999999999996</v>
      </c>
      <c r="F57" s="88"/>
    </row>
    <row r="58" spans="1:9" x14ac:dyDescent="0.2">
      <c r="A58" s="88"/>
      <c r="B58" s="88"/>
      <c r="C58" s="91">
        <f>C56*C57</f>
        <v>5000</v>
      </c>
      <c r="D58" s="88"/>
      <c r="E58" s="91">
        <f>E56*E57</f>
        <v>15219.583949942211</v>
      </c>
      <c r="F58" s="88"/>
    </row>
    <row r="59" spans="1:9" ht="15" x14ac:dyDescent="0.25">
      <c r="A59" s="94"/>
      <c r="B59" s="94"/>
      <c r="C59" s="94"/>
      <c r="D59" s="95"/>
      <c r="E59" s="88"/>
      <c r="F59" s="88"/>
    </row>
    <row r="60" spans="1:9" ht="15" x14ac:dyDescent="0.25">
      <c r="A60" s="94" t="s">
        <v>50</v>
      </c>
      <c r="B60" s="94"/>
      <c r="C60" s="88"/>
      <c r="D60" s="96">
        <f>C58+E58</f>
        <v>20219.583949942211</v>
      </c>
      <c r="E60" s="88"/>
      <c r="F60" s="88"/>
    </row>
    <row r="61" spans="1:9" x14ac:dyDescent="0.2">
      <c r="A61" s="88"/>
      <c r="B61" s="88"/>
      <c r="C61" s="88"/>
      <c r="D61" s="88"/>
      <c r="E61" s="88"/>
      <c r="F61" s="88"/>
    </row>
    <row r="62" spans="1:9" ht="15" x14ac:dyDescent="0.25">
      <c r="A62" s="134" t="s">
        <v>47</v>
      </c>
      <c r="B62" s="134"/>
      <c r="C62" s="134"/>
      <c r="D62" s="134"/>
      <c r="E62" s="134"/>
      <c r="F62" s="16"/>
    </row>
    <row r="63" spans="1:9" ht="15" x14ac:dyDescent="0.25">
      <c r="A63" s="55" t="s">
        <v>106</v>
      </c>
      <c r="B63" s="45"/>
      <c r="C63" s="97">
        <f>D45+D60</f>
        <v>33432.105857937233</v>
      </c>
      <c r="D63" s="45"/>
      <c r="E63" s="45"/>
      <c r="F63" s="16"/>
      <c r="I63" t="s">
        <v>145</v>
      </c>
    </row>
    <row r="64" spans="1:9" ht="15" x14ac:dyDescent="0.25">
      <c r="A64" s="45"/>
      <c r="B64" s="45"/>
      <c r="C64" s="45"/>
      <c r="D64" s="45"/>
      <c r="E64" s="45"/>
      <c r="F64" s="16"/>
    </row>
    <row r="65" spans="1:9" ht="15" x14ac:dyDescent="0.25">
      <c r="A65" s="113" t="s">
        <v>125</v>
      </c>
      <c r="B65" s="114"/>
      <c r="C65" s="114"/>
      <c r="D65" s="114"/>
      <c r="E65" s="114"/>
      <c r="F65" s="114"/>
      <c r="G65" s="114"/>
      <c r="H65" s="114"/>
      <c r="I65" s="115"/>
    </row>
    <row r="66" spans="1:9" x14ac:dyDescent="0.2">
      <c r="A66" s="106" t="s">
        <v>4</v>
      </c>
      <c r="B66" s="106"/>
      <c r="C66" s="106"/>
      <c r="D66" s="106"/>
      <c r="E66" s="7">
        <v>700000</v>
      </c>
    </row>
    <row r="67" spans="1:9" x14ac:dyDescent="0.2">
      <c r="A67" s="132" t="s">
        <v>5</v>
      </c>
      <c r="B67" s="132"/>
      <c r="C67" s="132"/>
      <c r="D67" s="132"/>
      <c r="E67" s="8">
        <f>1-C5</f>
        <v>0.15000000000000002</v>
      </c>
    </row>
    <row r="68" spans="1:9" x14ac:dyDescent="0.2">
      <c r="A68" s="132" t="s">
        <v>6</v>
      </c>
      <c r="B68" s="132"/>
      <c r="C68" s="132"/>
      <c r="D68" s="132"/>
      <c r="E68" s="7">
        <f>E66*E67</f>
        <v>105000.00000000001</v>
      </c>
    </row>
    <row r="69" spans="1:9" ht="15" x14ac:dyDescent="0.25">
      <c r="A69" s="6"/>
      <c r="B69" s="6"/>
      <c r="C69" s="6"/>
      <c r="D69" s="6"/>
      <c r="E69" s="5"/>
    </row>
    <row r="70" spans="1:9" ht="15" x14ac:dyDescent="0.2">
      <c r="A70" s="133" t="s">
        <v>55</v>
      </c>
      <c r="B70" s="133"/>
      <c r="C70" s="133"/>
      <c r="D70" s="133"/>
      <c r="E70" s="133"/>
      <c r="F70" s="133"/>
      <c r="G70" s="133"/>
      <c r="H70" s="133"/>
      <c r="I70" s="133"/>
    </row>
    <row r="72" spans="1:9" ht="15" x14ac:dyDescent="0.25">
      <c r="A72" s="113" t="s">
        <v>38</v>
      </c>
      <c r="B72" s="114"/>
      <c r="C72" s="114"/>
      <c r="D72" s="114"/>
      <c r="E72" s="114"/>
      <c r="F72" s="114"/>
      <c r="G72" s="114"/>
      <c r="H72" s="114"/>
      <c r="I72" s="115"/>
    </row>
    <row r="73" spans="1:9" ht="53.1" customHeight="1" x14ac:dyDescent="0.2">
      <c r="A73" s="130" t="s">
        <v>131</v>
      </c>
      <c r="B73" s="133"/>
      <c r="C73" s="133"/>
      <c r="D73" s="133"/>
      <c r="E73" s="133"/>
      <c r="F73" s="133"/>
      <c r="G73" s="133"/>
      <c r="H73" s="133"/>
      <c r="I73" s="133"/>
    </row>
    <row r="75" spans="1:9" ht="15" x14ac:dyDescent="0.25">
      <c r="A75" s="38"/>
      <c r="B75" s="124" t="s">
        <v>129</v>
      </c>
      <c r="C75" s="124"/>
      <c r="D75" s="124" t="s">
        <v>56</v>
      </c>
      <c r="E75" s="124"/>
      <c r="F75" s="125" t="s">
        <v>130</v>
      </c>
      <c r="G75" s="125"/>
      <c r="H75">
        <v>2</v>
      </c>
      <c r="I75" t="s">
        <v>7</v>
      </c>
    </row>
    <row r="76" spans="1:9" x14ac:dyDescent="0.2">
      <c r="A76" s="39">
        <v>42736</v>
      </c>
      <c r="B76" s="33" t="s">
        <v>52</v>
      </c>
      <c r="C76" s="126">
        <v>20000</v>
      </c>
      <c r="D76" s="33" t="s">
        <v>52</v>
      </c>
      <c r="E76" s="126">
        <v>20000</v>
      </c>
      <c r="F76" s="33" t="s">
        <v>92</v>
      </c>
      <c r="G76" s="126">
        <v>20000</v>
      </c>
      <c r="H76" s="9">
        <v>7.0000000000000007E-2</v>
      </c>
      <c r="I76" t="s">
        <v>8</v>
      </c>
    </row>
    <row r="77" spans="1:9" x14ac:dyDescent="0.2">
      <c r="A77" s="40"/>
      <c r="B77" s="18" t="s">
        <v>57</v>
      </c>
      <c r="C77" s="127"/>
      <c r="D77" s="37" t="s">
        <v>53</v>
      </c>
      <c r="E77" s="128"/>
      <c r="F77" s="37" t="s">
        <v>53</v>
      </c>
      <c r="G77" s="128"/>
      <c r="H77" s="4">
        <v>150000</v>
      </c>
      <c r="I77" t="s">
        <v>9</v>
      </c>
    </row>
    <row r="78" spans="1:9" x14ac:dyDescent="0.2">
      <c r="A78" s="40"/>
      <c r="B78" s="18"/>
      <c r="C78" s="119"/>
      <c r="D78" s="18" t="s">
        <v>64</v>
      </c>
      <c r="E78" s="121">
        <f>-PV(H76,H75,,H77)</f>
        <v>131015.80924098175</v>
      </c>
      <c r="F78" s="18" t="s">
        <v>64</v>
      </c>
      <c r="G78" s="119">
        <v>131016</v>
      </c>
    </row>
    <row r="79" spans="1:9" x14ac:dyDescent="0.2">
      <c r="A79" s="41"/>
      <c r="B79" s="20"/>
      <c r="C79" s="120"/>
      <c r="D79" s="20" t="s">
        <v>57</v>
      </c>
      <c r="E79" s="122"/>
      <c r="F79" s="20" t="s">
        <v>57</v>
      </c>
      <c r="G79" s="120"/>
    </row>
    <row r="80" spans="1:9" x14ac:dyDescent="0.2">
      <c r="A80" s="39">
        <v>42916</v>
      </c>
      <c r="B80" s="33" t="s">
        <v>58</v>
      </c>
      <c r="C80" s="123">
        <f>10000*(2.5-2)</f>
        <v>5000</v>
      </c>
      <c r="D80" s="33" t="s">
        <v>58</v>
      </c>
      <c r="E80" s="123">
        <f>E78*(1.07^0.5-1)</f>
        <v>4507.9976345785717</v>
      </c>
      <c r="F80" s="33" t="s">
        <v>92</v>
      </c>
      <c r="G80" s="129">
        <f>C80-E80</f>
        <v>492.00236542142829</v>
      </c>
    </row>
    <row r="81" spans="1:9" x14ac:dyDescent="0.2">
      <c r="A81" s="41"/>
      <c r="B81" s="20" t="s">
        <v>57</v>
      </c>
      <c r="C81" s="122"/>
      <c r="D81" s="20" t="s">
        <v>57</v>
      </c>
      <c r="E81" s="122"/>
      <c r="F81" s="20" t="s">
        <v>93</v>
      </c>
      <c r="G81" s="120"/>
    </row>
    <row r="82" spans="1:9" x14ac:dyDescent="0.2">
      <c r="A82" s="39">
        <v>43100</v>
      </c>
      <c r="B82" s="33" t="s">
        <v>58</v>
      </c>
      <c r="C82" s="123">
        <f>10000*(3-2.5)</f>
        <v>5000</v>
      </c>
      <c r="D82" s="33" t="s">
        <v>58</v>
      </c>
      <c r="E82" s="123">
        <f>E78*7%-E80</f>
        <v>4663.1090122901524</v>
      </c>
      <c r="F82" s="33" t="s">
        <v>92</v>
      </c>
      <c r="G82" s="129">
        <f>C82-E82</f>
        <v>336.89098770984765</v>
      </c>
    </row>
    <row r="83" spans="1:9" x14ac:dyDescent="0.2">
      <c r="A83" s="41"/>
      <c r="B83" s="20" t="s">
        <v>57</v>
      </c>
      <c r="C83" s="122"/>
      <c r="D83" s="20" t="s">
        <v>57</v>
      </c>
      <c r="E83" s="122"/>
      <c r="F83" s="20" t="s">
        <v>93</v>
      </c>
      <c r="G83" s="120"/>
    </row>
    <row r="84" spans="1:9" x14ac:dyDescent="0.2">
      <c r="A84" s="16"/>
      <c r="B84" s="16"/>
      <c r="C84" s="34"/>
      <c r="D84" s="16"/>
      <c r="E84" s="34"/>
      <c r="F84" s="16"/>
      <c r="G84" s="35"/>
    </row>
    <row r="85" spans="1:9" ht="15" x14ac:dyDescent="0.25">
      <c r="A85" s="1" t="s">
        <v>132</v>
      </c>
    </row>
    <row r="86" spans="1:9" x14ac:dyDescent="0.2">
      <c r="A86" t="s">
        <v>11</v>
      </c>
      <c r="C86" s="76">
        <f>-E80</f>
        <v>-4507.9976345785717</v>
      </c>
    </row>
    <row r="87" spans="1:9" x14ac:dyDescent="0.2">
      <c r="A87" t="s">
        <v>12</v>
      </c>
      <c r="C87" s="77">
        <f>-E82</f>
        <v>-4663.1090122901524</v>
      </c>
    </row>
    <row r="88" spans="1:9" x14ac:dyDescent="0.2">
      <c r="C88" s="10"/>
    </row>
    <row r="89" spans="1:9" ht="15" x14ac:dyDescent="0.25">
      <c r="A89" s="101" t="s">
        <v>147</v>
      </c>
      <c r="B89" s="102"/>
      <c r="C89" s="103"/>
      <c r="D89" s="102"/>
      <c r="E89" s="102"/>
    </row>
    <row r="90" spans="1:9" x14ac:dyDescent="0.2">
      <c r="A90" s="104">
        <f>G76-G78+G80+G82</f>
        <v>-110187.10664686872</v>
      </c>
      <c r="B90" s="102"/>
      <c r="C90" s="103"/>
      <c r="D90" s="102"/>
      <c r="E90" s="102"/>
    </row>
    <row r="92" spans="1:9" ht="15" x14ac:dyDescent="0.25">
      <c r="A92" s="113" t="s">
        <v>43</v>
      </c>
      <c r="B92" s="114"/>
      <c r="C92" s="114"/>
      <c r="D92" s="114"/>
      <c r="E92" s="114"/>
      <c r="F92" s="114"/>
      <c r="G92" s="114"/>
      <c r="H92" s="114"/>
      <c r="I92" s="115"/>
    </row>
    <row r="93" spans="1:9" ht="48.6" customHeight="1" x14ac:dyDescent="0.2">
      <c r="A93" s="130" t="s">
        <v>108</v>
      </c>
      <c r="B93" s="131"/>
      <c r="C93" s="131"/>
      <c r="D93" s="131"/>
      <c r="E93" s="131"/>
      <c r="F93" s="131"/>
      <c r="G93" s="131"/>
      <c r="H93" s="131"/>
      <c r="I93" s="131"/>
    </row>
    <row r="95" spans="1:9" x14ac:dyDescent="0.2">
      <c r="E95" s="11">
        <f>H95/H96</f>
        <v>300000</v>
      </c>
      <c r="F95" t="s">
        <v>135</v>
      </c>
      <c r="H95" s="10">
        <f>150000*10%</f>
        <v>15000</v>
      </c>
      <c r="I95" t="s">
        <v>13</v>
      </c>
    </row>
    <row r="96" spans="1:9" x14ac:dyDescent="0.2">
      <c r="H96" s="9">
        <v>0.05</v>
      </c>
      <c r="I96" t="s">
        <v>8</v>
      </c>
    </row>
    <row r="98" spans="1:9" ht="16.5" x14ac:dyDescent="0.2">
      <c r="A98" t="s">
        <v>15</v>
      </c>
      <c r="C98" s="10">
        <f>E95*(1.05^0.5-1)</f>
        <v>7408.5229787879789</v>
      </c>
      <c r="I98" t="s">
        <v>133</v>
      </c>
    </row>
    <row r="99" spans="1:9" x14ac:dyDescent="0.2">
      <c r="A99" t="s">
        <v>16</v>
      </c>
      <c r="C99" s="11">
        <f>E95*H96-C98</f>
        <v>7591.4770212120211</v>
      </c>
      <c r="I99" t="s">
        <v>134</v>
      </c>
    </row>
    <row r="101" spans="1:9" ht="15" x14ac:dyDescent="0.25">
      <c r="A101" s="1" t="s">
        <v>10</v>
      </c>
    </row>
    <row r="102" spans="1:9" x14ac:dyDescent="0.2">
      <c r="A102" t="s">
        <v>11</v>
      </c>
      <c r="C102" s="76">
        <f>-C98</f>
        <v>-7408.5229787879789</v>
      </c>
    </row>
    <row r="103" spans="1:9" x14ac:dyDescent="0.2">
      <c r="A103" t="s">
        <v>12</v>
      </c>
      <c r="C103" s="77">
        <f>-C99</f>
        <v>-7591.4770212120211</v>
      </c>
    </row>
    <row r="105" spans="1:9" ht="15" x14ac:dyDescent="0.25">
      <c r="A105" s="113" t="s">
        <v>42</v>
      </c>
      <c r="B105" s="114"/>
      <c r="C105" s="114"/>
      <c r="D105" s="114"/>
      <c r="E105" s="114"/>
      <c r="F105" s="114"/>
      <c r="G105" s="114"/>
      <c r="H105" s="114"/>
      <c r="I105" s="115"/>
    </row>
    <row r="106" spans="1:9" ht="90.95" customHeight="1" x14ac:dyDescent="0.2">
      <c r="A106" s="130" t="s">
        <v>136</v>
      </c>
      <c r="B106" s="130"/>
      <c r="C106" s="130"/>
      <c r="D106" s="130"/>
      <c r="E106" s="130"/>
      <c r="F106" s="130"/>
      <c r="G106" s="130"/>
      <c r="H106" s="130"/>
      <c r="I106" s="130"/>
    </row>
    <row r="108" spans="1:9" ht="15" x14ac:dyDescent="0.25">
      <c r="A108" s="110" t="s">
        <v>17</v>
      </c>
      <c r="B108" s="110"/>
      <c r="C108" s="110"/>
      <c r="D108" s="4">
        <v>135000</v>
      </c>
      <c r="I108" s="78" t="s">
        <v>68</v>
      </c>
    </row>
    <row r="109" spans="1:9" x14ac:dyDescent="0.2">
      <c r="A109" s="110" t="s">
        <v>109</v>
      </c>
      <c r="B109" s="110"/>
      <c r="C109" s="110"/>
      <c r="D109" s="10">
        <f>1000+6250*2</f>
        <v>13500</v>
      </c>
      <c r="I109" t="s">
        <v>67</v>
      </c>
    </row>
    <row r="110" spans="1:9" x14ac:dyDescent="0.2">
      <c r="A110" s="110" t="s">
        <v>110</v>
      </c>
      <c r="B110" s="110"/>
      <c r="C110" s="110"/>
      <c r="D110" s="13">
        <f>D109/D108</f>
        <v>0.1</v>
      </c>
    </row>
    <row r="112" spans="1:9" ht="15" x14ac:dyDescent="0.25">
      <c r="A112" s="110" t="s">
        <v>111</v>
      </c>
      <c r="B112" s="110"/>
      <c r="C112" s="110"/>
      <c r="D112" s="14">
        <f>D108*(1-D110)</f>
        <v>121500</v>
      </c>
    </row>
    <row r="114" spans="1:9" ht="15" x14ac:dyDescent="0.25">
      <c r="A114" s="111" t="s">
        <v>18</v>
      </c>
      <c r="B114" s="112"/>
      <c r="C114" s="112"/>
      <c r="D114" s="112"/>
      <c r="E114" s="116" t="s">
        <v>20</v>
      </c>
      <c r="F114" s="117"/>
      <c r="G114" s="117"/>
      <c r="H114" s="117"/>
      <c r="I114" s="118"/>
    </row>
    <row r="115" spans="1:9" x14ac:dyDescent="0.2">
      <c r="A115" s="18"/>
      <c r="B115" s="16">
        <v>3</v>
      </c>
      <c r="C115" s="16" t="s">
        <v>7</v>
      </c>
      <c r="D115" s="16"/>
      <c r="E115" s="33" t="s">
        <v>139</v>
      </c>
      <c r="F115" s="80"/>
      <c r="G115" s="81">
        <f>D108-B120</f>
        <v>29845.806025504236</v>
      </c>
      <c r="H115" s="80"/>
      <c r="I115" s="79" t="s">
        <v>138</v>
      </c>
    </row>
    <row r="116" spans="1:9" x14ac:dyDescent="0.2">
      <c r="A116" s="18"/>
      <c r="B116" s="22">
        <v>0.08</v>
      </c>
      <c r="C116" s="16" t="s">
        <v>8</v>
      </c>
      <c r="D116" s="16"/>
      <c r="E116" s="18"/>
      <c r="F116" s="16"/>
      <c r="G116" s="16"/>
      <c r="H116" s="16"/>
      <c r="I116" s="17"/>
    </row>
    <row r="117" spans="1:9" ht="15" x14ac:dyDescent="0.25">
      <c r="A117" s="18"/>
      <c r="B117" s="19">
        <f>B118*10%</f>
        <v>10000</v>
      </c>
      <c r="C117" s="16" t="s">
        <v>13</v>
      </c>
      <c r="D117" s="16"/>
      <c r="E117" s="18" t="s">
        <v>19</v>
      </c>
      <c r="F117" s="16"/>
      <c r="G117" s="25">
        <f>G115*(1-D110)</f>
        <v>26861.225422953812</v>
      </c>
      <c r="H117" s="16"/>
      <c r="I117" s="17" t="s">
        <v>140</v>
      </c>
    </row>
    <row r="118" spans="1:9" x14ac:dyDescent="0.2">
      <c r="A118" s="18"/>
      <c r="B118" s="23">
        <v>100000</v>
      </c>
      <c r="C118" s="16" t="s">
        <v>9</v>
      </c>
      <c r="D118" s="16"/>
      <c r="E118" s="18"/>
      <c r="F118" s="16"/>
      <c r="G118" s="16"/>
      <c r="H118" s="16"/>
      <c r="I118" s="17"/>
    </row>
    <row r="119" spans="1:9" x14ac:dyDescent="0.2">
      <c r="A119" s="18"/>
      <c r="B119" s="16"/>
      <c r="C119" s="16"/>
      <c r="D119" s="16"/>
      <c r="E119" s="18"/>
      <c r="F119" s="16"/>
      <c r="G119" s="16"/>
      <c r="H119" s="16"/>
      <c r="I119" s="17"/>
    </row>
    <row r="120" spans="1:9" x14ac:dyDescent="0.2">
      <c r="A120" s="18"/>
      <c r="B120" s="19">
        <f>-PV(B116,B115,B117,B118)</f>
        <v>105154.19397449576</v>
      </c>
      <c r="C120" s="16" t="s">
        <v>14</v>
      </c>
      <c r="D120" s="16"/>
      <c r="E120" s="18"/>
      <c r="F120" s="16"/>
      <c r="G120" s="16"/>
      <c r="H120" s="16"/>
      <c r="I120" s="17"/>
    </row>
    <row r="121" spans="1:9" x14ac:dyDescent="0.2">
      <c r="A121" s="18"/>
      <c r="B121" s="16"/>
      <c r="C121" s="16"/>
      <c r="D121" s="16"/>
      <c r="E121" s="18"/>
      <c r="F121" s="16"/>
      <c r="G121" s="16"/>
      <c r="H121" s="16"/>
      <c r="I121" s="17"/>
    </row>
    <row r="122" spans="1:9" ht="15" x14ac:dyDescent="0.25">
      <c r="A122" s="20" t="s">
        <v>19</v>
      </c>
      <c r="B122" s="12"/>
      <c r="C122" s="26">
        <f>B120*(1-D110)</f>
        <v>94638.774577046192</v>
      </c>
      <c r="D122" s="12" t="s">
        <v>137</v>
      </c>
      <c r="E122" s="20"/>
      <c r="F122" s="12"/>
      <c r="G122" s="12"/>
      <c r="H122" s="12"/>
      <c r="I122" s="21"/>
    </row>
    <row r="123" spans="1:9" x14ac:dyDescent="0.2">
      <c r="A123" s="16"/>
      <c r="B123" s="16"/>
      <c r="C123" s="56"/>
      <c r="D123" s="16"/>
      <c r="E123" s="16"/>
      <c r="F123" s="16"/>
      <c r="G123" s="16"/>
      <c r="H123" s="16"/>
    </row>
    <row r="124" spans="1:9" x14ac:dyDescent="0.2">
      <c r="A124" s="59" t="s">
        <v>74</v>
      </c>
      <c r="B124" s="16"/>
      <c r="C124" s="56"/>
      <c r="D124" s="16"/>
      <c r="E124" s="16"/>
      <c r="F124" s="16"/>
      <c r="G124" s="16"/>
      <c r="H124" s="16"/>
    </row>
    <row r="125" spans="1:9" x14ac:dyDescent="0.2">
      <c r="A125" s="16" t="s">
        <v>52</v>
      </c>
      <c r="B125" s="16"/>
      <c r="C125" s="56"/>
      <c r="D125" s="23">
        <v>134000</v>
      </c>
      <c r="E125" s="16"/>
      <c r="F125" s="16"/>
      <c r="G125" s="16"/>
      <c r="I125" s="16" t="s">
        <v>72</v>
      </c>
    </row>
    <row r="126" spans="1:9" x14ac:dyDescent="0.2">
      <c r="A126" s="57" t="s">
        <v>69</v>
      </c>
      <c r="B126" s="16"/>
      <c r="C126" s="56"/>
      <c r="D126" s="58">
        <f>C122</f>
        <v>94638.774577046192</v>
      </c>
      <c r="E126" s="16"/>
      <c r="F126" s="16"/>
      <c r="G126" s="16"/>
    </row>
    <row r="127" spans="1:9" x14ac:dyDescent="0.2">
      <c r="A127" s="57" t="s">
        <v>70</v>
      </c>
      <c r="B127" s="16"/>
      <c r="C127" s="56"/>
      <c r="D127" s="58">
        <f>G117</f>
        <v>26861.225422953812</v>
      </c>
      <c r="E127" s="16"/>
      <c r="F127" s="16"/>
      <c r="G127" s="16"/>
      <c r="H127" s="16"/>
    </row>
    <row r="128" spans="1:9" ht="15" x14ac:dyDescent="0.25">
      <c r="A128" s="57" t="s">
        <v>71</v>
      </c>
      <c r="B128" s="16"/>
      <c r="C128" s="56"/>
      <c r="D128" s="43">
        <v>6250</v>
      </c>
      <c r="E128" s="16"/>
      <c r="G128" s="16"/>
      <c r="H128" s="16"/>
      <c r="I128" s="82" t="s">
        <v>68</v>
      </c>
    </row>
    <row r="129" spans="1:9" ht="15" x14ac:dyDescent="0.25">
      <c r="A129" s="57" t="s">
        <v>141</v>
      </c>
      <c r="B129" s="16"/>
      <c r="C129" s="56"/>
      <c r="D129" s="58">
        <f>D125-D126-D127-D128</f>
        <v>6249.9999999999964</v>
      </c>
      <c r="E129" s="16"/>
      <c r="G129" s="16"/>
      <c r="H129" s="16"/>
      <c r="I129" s="82" t="s">
        <v>73</v>
      </c>
    </row>
    <row r="130" spans="1:9" x14ac:dyDescent="0.2">
      <c r="A130" s="16"/>
      <c r="B130" s="16"/>
      <c r="C130" s="56"/>
      <c r="D130" s="16"/>
      <c r="E130" s="16"/>
      <c r="F130" s="16"/>
      <c r="G130" s="16"/>
      <c r="H130" s="16"/>
    </row>
    <row r="131" spans="1:9" x14ac:dyDescent="0.2">
      <c r="A131" t="s">
        <v>21</v>
      </c>
      <c r="D131" s="83">
        <f>C122*(1.08^0.5-1)</f>
        <v>3712.7249830548935</v>
      </c>
      <c r="I131" t="s">
        <v>112</v>
      </c>
    </row>
    <row r="133" spans="1:9" ht="15" x14ac:dyDescent="0.25">
      <c r="A133" s="1" t="s">
        <v>10</v>
      </c>
    </row>
    <row r="134" spans="1:9" x14ac:dyDescent="0.2">
      <c r="A134" t="s">
        <v>11</v>
      </c>
      <c r="C134" s="85" t="s">
        <v>22</v>
      </c>
    </row>
    <row r="135" spans="1:9" x14ac:dyDescent="0.2">
      <c r="A135" t="s">
        <v>12</v>
      </c>
      <c r="C135" s="84">
        <f>-D131</f>
        <v>-3712.7249830548935</v>
      </c>
    </row>
    <row r="136" spans="1:9" x14ac:dyDescent="0.2">
      <c r="C136" s="10"/>
    </row>
    <row r="137" spans="1:9" ht="15" x14ac:dyDescent="0.25">
      <c r="A137" s="113" t="s">
        <v>41</v>
      </c>
      <c r="B137" s="114"/>
      <c r="C137" s="114"/>
      <c r="D137" s="114"/>
      <c r="E137" s="114"/>
      <c r="F137" s="114"/>
      <c r="G137" s="114"/>
      <c r="H137" s="114"/>
      <c r="I137" s="115"/>
    </row>
    <row r="138" spans="1:9" ht="72.95" customHeight="1" x14ac:dyDescent="0.2">
      <c r="A138" s="130" t="s">
        <v>143</v>
      </c>
      <c r="B138" s="131"/>
      <c r="C138" s="131"/>
      <c r="D138" s="131"/>
      <c r="E138" s="131"/>
      <c r="F138" s="131"/>
      <c r="G138" s="131"/>
      <c r="H138" s="131"/>
      <c r="I138" s="131"/>
    </row>
    <row r="140" spans="1:9" x14ac:dyDescent="0.2">
      <c r="A140" s="88" t="s">
        <v>23</v>
      </c>
      <c r="B140" s="88"/>
      <c r="C140" s="98">
        <f>50%*20000*5</f>
        <v>50000</v>
      </c>
      <c r="D140" s="88"/>
      <c r="E140" s="88"/>
      <c r="F140" s="88"/>
      <c r="G140" s="88"/>
      <c r="H140" s="88"/>
      <c r="I140" s="88" t="s">
        <v>24</v>
      </c>
    </row>
    <row r="141" spans="1:9" x14ac:dyDescent="0.2">
      <c r="A141" s="88"/>
      <c r="B141" s="88"/>
      <c r="C141" s="88"/>
      <c r="D141" s="88"/>
      <c r="E141" s="88"/>
      <c r="F141" s="88"/>
      <c r="G141" s="88"/>
      <c r="H141" s="88"/>
      <c r="I141" s="88"/>
    </row>
    <row r="142" spans="1:9" ht="15" x14ac:dyDescent="0.25">
      <c r="A142" s="99" t="s">
        <v>113</v>
      </c>
      <c r="B142" s="88"/>
      <c r="C142" s="88"/>
      <c r="D142" s="88"/>
      <c r="E142" s="88"/>
      <c r="F142" s="88"/>
      <c r="G142" s="88"/>
      <c r="H142" s="88"/>
      <c r="I142" s="88"/>
    </row>
    <row r="143" spans="1:9" x14ac:dyDescent="0.2">
      <c r="A143" s="100">
        <f>-C140</f>
        <v>-50000</v>
      </c>
      <c r="B143" s="88"/>
      <c r="C143" s="88"/>
      <c r="D143" s="88"/>
      <c r="E143" s="88"/>
      <c r="F143" s="88"/>
      <c r="G143" s="88"/>
      <c r="H143" s="88"/>
      <c r="I143" s="88"/>
    </row>
    <row r="145" spans="1:9" ht="15" x14ac:dyDescent="0.25">
      <c r="A145" s="113" t="s">
        <v>40</v>
      </c>
      <c r="B145" s="114"/>
      <c r="C145" s="114"/>
      <c r="D145" s="114"/>
      <c r="E145" s="114"/>
      <c r="F145" s="114"/>
      <c r="G145" s="114"/>
      <c r="H145" s="114"/>
      <c r="I145" s="115"/>
    </row>
    <row r="146" spans="1:9" ht="72" customHeight="1" x14ac:dyDescent="0.2">
      <c r="A146" s="130" t="s">
        <v>144</v>
      </c>
      <c r="B146" s="130"/>
      <c r="C146" s="130"/>
      <c r="D146" s="130"/>
      <c r="E146" s="130"/>
      <c r="F146" s="130"/>
      <c r="G146" s="130"/>
      <c r="H146" s="130"/>
      <c r="I146" s="130"/>
    </row>
    <row r="148" spans="1:9" ht="15" x14ac:dyDescent="0.25">
      <c r="A148" s="1" t="s">
        <v>10</v>
      </c>
    </row>
    <row r="149" spans="1:9" x14ac:dyDescent="0.2">
      <c r="A149" t="s">
        <v>11</v>
      </c>
      <c r="C149" s="85" t="s">
        <v>22</v>
      </c>
    </row>
    <row r="150" spans="1:9" x14ac:dyDescent="0.2">
      <c r="A150" t="s">
        <v>12</v>
      </c>
      <c r="C150" s="84">
        <f>-200000*(1.06^(3/12)-1)</f>
        <v>-2934.7692337318599</v>
      </c>
      <c r="I150" t="s">
        <v>114</v>
      </c>
    </row>
    <row r="153" spans="1:9" ht="15" x14ac:dyDescent="0.25">
      <c r="A153" s="113" t="s">
        <v>39</v>
      </c>
      <c r="B153" s="114"/>
      <c r="C153" s="114"/>
      <c r="D153" s="114"/>
      <c r="E153" s="114"/>
      <c r="F153" s="114"/>
      <c r="G153" s="114"/>
      <c r="H153" s="114"/>
      <c r="I153" s="115"/>
    </row>
    <row r="154" spans="1:9" ht="30.95" customHeight="1" x14ac:dyDescent="0.2">
      <c r="A154" s="130" t="s">
        <v>115</v>
      </c>
      <c r="B154" s="131"/>
      <c r="C154" s="131"/>
      <c r="D154" s="131"/>
      <c r="E154" s="131"/>
      <c r="F154" s="131"/>
      <c r="G154" s="131"/>
      <c r="H154" s="131"/>
      <c r="I154" s="131"/>
    </row>
    <row r="156" spans="1:9" ht="15" x14ac:dyDescent="0.25">
      <c r="A156" s="113" t="s">
        <v>146</v>
      </c>
      <c r="B156" s="114"/>
      <c r="C156" s="114"/>
      <c r="D156" s="114"/>
      <c r="E156" s="114"/>
      <c r="F156" s="114"/>
      <c r="G156" s="114"/>
      <c r="H156" s="114"/>
      <c r="I156" s="115"/>
    </row>
    <row r="157" spans="1:9" ht="15" x14ac:dyDescent="0.25">
      <c r="A157" s="45"/>
      <c r="B157" s="45"/>
      <c r="C157" s="45"/>
      <c r="D157" s="45"/>
      <c r="E157" s="45"/>
      <c r="F157" s="45"/>
      <c r="G157" s="45"/>
      <c r="H157" s="45"/>
      <c r="I157" s="45"/>
    </row>
    <row r="158" spans="1:9" ht="15" x14ac:dyDescent="0.2">
      <c r="A158" s="133" t="s">
        <v>121</v>
      </c>
      <c r="B158" s="133"/>
      <c r="C158" s="133"/>
      <c r="D158" s="133"/>
      <c r="E158" s="133"/>
      <c r="F158" s="133"/>
      <c r="G158" s="133"/>
      <c r="H158" s="133"/>
      <c r="I158" s="133"/>
    </row>
    <row r="160" spans="1:9" ht="15" x14ac:dyDescent="0.25">
      <c r="A160" s="110" t="s">
        <v>117</v>
      </c>
      <c r="B160" s="110"/>
      <c r="C160" s="110"/>
      <c r="D160" s="4">
        <v>977712</v>
      </c>
      <c r="F160" s="1" t="s">
        <v>68</v>
      </c>
    </row>
    <row r="161" spans="1:6" ht="15" x14ac:dyDescent="0.25">
      <c r="A161" s="32" t="s">
        <v>118</v>
      </c>
      <c r="B161" s="32"/>
      <c r="C161" s="32"/>
      <c r="D161" s="4">
        <f>A90</f>
        <v>-110187.10664686872</v>
      </c>
      <c r="F161" s="1" t="s">
        <v>98</v>
      </c>
    </row>
    <row r="162" spans="1:6" ht="15" x14ac:dyDescent="0.25">
      <c r="A162" s="110" t="s">
        <v>122</v>
      </c>
      <c r="B162" s="110"/>
      <c r="C162" s="110"/>
      <c r="D162" s="29">
        <f>A143</f>
        <v>-50000</v>
      </c>
      <c r="F162" s="1" t="s">
        <v>119</v>
      </c>
    </row>
    <row r="163" spans="1:6" x14ac:dyDescent="0.2">
      <c r="D163" s="4">
        <f>SUM(D160:D162)</f>
        <v>817524.89335313125</v>
      </c>
    </row>
    <row r="164" spans="1:6" x14ac:dyDescent="0.2">
      <c r="A164" s="16"/>
      <c r="B164" s="16"/>
      <c r="C164" s="16"/>
      <c r="D164" s="22"/>
    </row>
    <row r="165" spans="1:6" ht="15" x14ac:dyDescent="0.25">
      <c r="C165" s="31" t="s">
        <v>30</v>
      </c>
      <c r="D165" s="16"/>
      <c r="E165" s="31" t="s">
        <v>31</v>
      </c>
      <c r="F165" s="16"/>
    </row>
    <row r="166" spans="1:6" x14ac:dyDescent="0.2">
      <c r="C166" s="11">
        <f>G117</f>
        <v>26861.225422953812</v>
      </c>
      <c r="E166" s="11">
        <f>D163-C166</f>
        <v>790663.66793017741</v>
      </c>
    </row>
    <row r="167" spans="1:6" x14ac:dyDescent="0.2">
      <c r="A167" t="s">
        <v>26</v>
      </c>
      <c r="C167" s="30">
        <v>1</v>
      </c>
      <c r="E167" s="30">
        <f>1-C6</f>
        <v>0.19999999999999996</v>
      </c>
    </row>
    <row r="168" spans="1:6" x14ac:dyDescent="0.2">
      <c r="C168" s="11">
        <f>C166*C167</f>
        <v>26861.225422953812</v>
      </c>
      <c r="E168" s="11">
        <f>E166*E167</f>
        <v>158132.73358603544</v>
      </c>
    </row>
    <row r="171" spans="1:6" ht="15" x14ac:dyDescent="0.25">
      <c r="A171" t="s">
        <v>32</v>
      </c>
      <c r="C171" s="28">
        <f>C168+E168</f>
        <v>184993.95900898924</v>
      </c>
    </row>
    <row r="172" spans="1:6" ht="15" x14ac:dyDescent="0.25">
      <c r="C172" s="28"/>
    </row>
    <row r="173" spans="1:6" x14ac:dyDescent="0.2">
      <c r="E173" s="4"/>
    </row>
  </sheetData>
  <mergeCells count="66">
    <mergeCell ref="A158:I158"/>
    <mergeCell ref="D5:I6"/>
    <mergeCell ref="A8:I8"/>
    <mergeCell ref="A70:I70"/>
    <mergeCell ref="A73:I73"/>
    <mergeCell ref="A39:E39"/>
    <mergeCell ref="A47:E47"/>
    <mergeCell ref="A62:E62"/>
    <mergeCell ref="A48:C48"/>
    <mergeCell ref="A49:C49"/>
    <mergeCell ref="A50:C50"/>
    <mergeCell ref="A51:C51"/>
    <mergeCell ref="A156:I156"/>
    <mergeCell ref="A40:C40"/>
    <mergeCell ref="G82:G83"/>
    <mergeCell ref="A65:I65"/>
    <mergeCell ref="A160:C160"/>
    <mergeCell ref="A162:C162"/>
    <mergeCell ref="A52:C52"/>
    <mergeCell ref="A53:C53"/>
    <mergeCell ref="A145:I145"/>
    <mergeCell ref="A153:I153"/>
    <mergeCell ref="A93:I93"/>
    <mergeCell ref="A106:I106"/>
    <mergeCell ref="A138:I138"/>
    <mergeCell ref="A146:I146"/>
    <mergeCell ref="A67:D67"/>
    <mergeCell ref="A68:D68"/>
    <mergeCell ref="A154:I154"/>
    <mergeCell ref="A92:I92"/>
    <mergeCell ref="C82:C83"/>
    <mergeCell ref="E82:E83"/>
    <mergeCell ref="A105:I105"/>
    <mergeCell ref="C78:C79"/>
    <mergeCell ref="E78:E79"/>
    <mergeCell ref="E80:E81"/>
    <mergeCell ref="A72:I72"/>
    <mergeCell ref="B75:C75"/>
    <mergeCell ref="D75:E75"/>
    <mergeCell ref="F75:G75"/>
    <mergeCell ref="C76:C77"/>
    <mergeCell ref="E76:E77"/>
    <mergeCell ref="G76:G77"/>
    <mergeCell ref="C80:C81"/>
    <mergeCell ref="G78:G79"/>
    <mergeCell ref="G80:G81"/>
    <mergeCell ref="A114:D114"/>
    <mergeCell ref="A137:I137"/>
    <mergeCell ref="A112:C112"/>
    <mergeCell ref="A108:C108"/>
    <mergeCell ref="A109:C109"/>
    <mergeCell ref="A110:C110"/>
    <mergeCell ref="E114:I114"/>
    <mergeCell ref="A1:I1"/>
    <mergeCell ref="A66:D66"/>
    <mergeCell ref="A3:I3"/>
    <mergeCell ref="A5:B5"/>
    <mergeCell ref="A6:B6"/>
    <mergeCell ref="A10:I10"/>
    <mergeCell ref="A21:I21"/>
    <mergeCell ref="A41:C41"/>
    <mergeCell ref="A42:C42"/>
    <mergeCell ref="A43:C43"/>
    <mergeCell ref="A44:C44"/>
    <mergeCell ref="A45:C45"/>
    <mergeCell ref="A38:I38"/>
  </mergeCells>
  <pageMargins left="0.70866141732283472" right="0.70866141732283472" top="0.74803149606299213" bottom="0.74803149606299213" header="0.31496062992125984" footer="0.31496062992125984"/>
  <pageSetup paperSize="9" scale="78" fitToWidth="3"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rightToLeft="1" workbookViewId="0">
      <selection activeCell="B3" sqref="B3"/>
    </sheetView>
  </sheetViews>
  <sheetFormatPr defaultRowHeight="14.25" x14ac:dyDescent="0.2"/>
  <cols>
    <col min="1" max="1" width="36.125" customWidth="1"/>
    <col min="2" max="2" width="14" customWidth="1"/>
  </cols>
  <sheetData>
    <row r="1" spans="1:8" ht="15" x14ac:dyDescent="0.25">
      <c r="A1" s="105" t="s">
        <v>2</v>
      </c>
      <c r="B1" s="105"/>
      <c r="C1" s="105"/>
      <c r="D1" s="105"/>
      <c r="E1" s="105"/>
      <c r="F1" s="105"/>
      <c r="G1" s="105"/>
      <c r="H1" s="105"/>
    </row>
    <row r="2" spans="1:8" ht="30" x14ac:dyDescent="0.25">
      <c r="B2" s="2" t="s">
        <v>0</v>
      </c>
    </row>
    <row r="3" spans="1:8" ht="15" x14ac:dyDescent="0.25">
      <c r="A3" s="3" t="s">
        <v>1</v>
      </c>
      <c r="B3" s="48">
        <f>פתרון!E68</f>
        <v>105000.00000000001</v>
      </c>
      <c r="D3" s="1" t="s">
        <v>120</v>
      </c>
    </row>
    <row r="4" spans="1:8" ht="15" x14ac:dyDescent="0.25">
      <c r="A4" s="42" t="s">
        <v>35</v>
      </c>
      <c r="B4" s="10">
        <f>פתרון!D15-פתרון!D18</f>
        <v>-16652.371386147264</v>
      </c>
      <c r="D4" s="1" t="s">
        <v>120</v>
      </c>
    </row>
    <row r="5" spans="1:8" ht="15" x14ac:dyDescent="0.25">
      <c r="A5" t="s">
        <v>116</v>
      </c>
      <c r="B5" s="19">
        <f>פתרון!G28-פתרון!C29</f>
        <v>63214.608930236354</v>
      </c>
      <c r="D5" s="1" t="s">
        <v>120</v>
      </c>
      <c r="H5" s="72"/>
    </row>
    <row r="6" spans="1:8" ht="15" x14ac:dyDescent="0.25">
      <c r="A6" t="s">
        <v>45</v>
      </c>
      <c r="B6" s="10">
        <f>פתרון!C63</f>
        <v>33432.105857937233</v>
      </c>
      <c r="D6" s="1" t="s">
        <v>120</v>
      </c>
    </row>
    <row r="7" spans="1:8" ht="15" x14ac:dyDescent="0.25">
      <c r="A7" t="s">
        <v>3</v>
      </c>
      <c r="B7" s="47">
        <f>פתרון!C171</f>
        <v>184993.95900898924</v>
      </c>
      <c r="D7" s="1" t="s">
        <v>101</v>
      </c>
    </row>
  </sheetData>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פתרון</vt:lpstr>
      <vt:lpstr>תנועה בזשמ"ש</vt:lpstr>
      <vt:lpstr>פתרון!WPrint_Area_W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Dimafant</dc:creator>
  <cp:lastModifiedBy>אלכס</cp:lastModifiedBy>
  <cp:lastPrinted>2018-06-16T20:25:03Z</cp:lastPrinted>
  <dcterms:created xsi:type="dcterms:W3CDTF">2018-04-27T15:06:02Z</dcterms:created>
  <dcterms:modified xsi:type="dcterms:W3CDTF">2018-08-25T16:39:17Z</dcterms:modified>
</cp:coreProperties>
</file>